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is_finu\shares\Почта\Отдел планирования и финансирования расходов бюджета\ОЦЕНКА о выполнении МЗ по 39 Пост\за 2024\"/>
    </mc:Choice>
  </mc:AlternateContent>
  <bookViews>
    <workbookView xWindow="0" yWindow="0" windowWidth="28800" windowHeight="12630" tabRatio="897" activeTab="4"/>
  </bookViews>
  <sheets>
    <sheet name="СВОД" sheetId="37" r:id="rId1"/>
    <sheet name="2.1. СМИ" sheetId="45" r:id="rId2"/>
    <sheet name="2.2. Транспорт" sheetId="43" r:id="rId3"/>
    <sheet name="2.3. Молодежная политика" sheetId="46" r:id="rId4"/>
    <sheet name="2.4. Образование" sheetId="47" r:id="rId5"/>
    <sheet name="2.6. Культура и искусство" sheetId="39" r:id="rId6"/>
    <sheet name="2.5. Физ. культура и спорт" sheetId="38" r:id="rId7"/>
    <sheet name="2.7 Центр развития туризма" sheetId="41" r:id="rId8"/>
    <sheet name="2.8 НЦБД" sheetId="48" r:id="rId9"/>
  </sheets>
  <definedNames>
    <definedName name="_xlnm._FilterDatabase" localSheetId="1" hidden="1">'2.1. СМИ'!$A$11:$Q$11</definedName>
    <definedName name="_xlnm._FilterDatabase" localSheetId="2" hidden="1">'2.2. Транспорт'!$A$11:$P$19</definedName>
    <definedName name="_xlnm._FilterDatabase" localSheetId="3" hidden="1">'2.3. Молодежная политика'!$A$11:$W$11</definedName>
    <definedName name="_xlnm._FilterDatabase" localSheetId="4" hidden="1">'2.4. Образование'!$A$11:$AU$1546</definedName>
    <definedName name="_xlnm._FilterDatabase" localSheetId="6" hidden="1">'2.5. Физ. культура и спорт'!$A$11:$DK$408</definedName>
    <definedName name="_xlnm._FilterDatabase" localSheetId="5" hidden="1">'2.6. Культура и искусство'!$A$11:$U$294</definedName>
    <definedName name="Z_033ACC5A_F6E8_468F_9BE0_86318027F274_.wvu.FilterData" localSheetId="6" hidden="1">'2.5. Физ. культура и спорт'!$A$11:$S$325</definedName>
    <definedName name="Z_033ACC5A_F6E8_468F_9BE0_86318027F274_.wvu.FilterData" localSheetId="5" hidden="1">'2.6. Культура и искусство'!$A$11:$T$11</definedName>
    <definedName name="Z_0955B959_3DAE_4E74_A781_C345CDB5E7D4_.wvu.FilterData" localSheetId="4" hidden="1">'2.4. Образование'!$M$10:$P$1541</definedName>
    <definedName name="Z_0956D61B_E97A_4B11_83DC_CA607E3E5B04_.wvu.FilterData" localSheetId="4" hidden="1">'2.4. Образование'!$M$10:$P$1541</definedName>
    <definedName name="Z_2520D3D7_8B65_45CB_BEB1_3C394BD29D04_.wvu.FilterData" localSheetId="5" hidden="1">'2.6. Культура и искусство'!$A$11:$T$11</definedName>
    <definedName name="Z_2732AE8A_56AB_4034_A6FB_43FEC9F0E9B7_.wvu.FilterData" localSheetId="4" hidden="1">'2.4. Образование'!$M$10:$P$1541</definedName>
    <definedName name="Z_2C3B3F99_6854_499B_B4FB_AA99758E2C38_.wvu.FilterData" localSheetId="6" hidden="1">'2.5. Физ. культура и спорт'!$A$11:$S$325</definedName>
    <definedName name="Z_2D6C5878_5CA0_47B0_A1F6_4B79C0A506DE_.wvu.FilterData" localSheetId="1" hidden="1">'2.1. СМИ'!$A$11:$Q$11</definedName>
    <definedName name="Z_2D6C5878_5CA0_47B0_A1F6_4B79C0A506DE_.wvu.FilterData" localSheetId="2" hidden="1">'2.2. Транспорт'!$A$11:$P$19</definedName>
    <definedName name="Z_2D6C5878_5CA0_47B0_A1F6_4B79C0A506DE_.wvu.FilterData" localSheetId="4" hidden="1">'2.4. Образование'!$A$11:$Y$1541</definedName>
    <definedName name="Z_2D6C5878_5CA0_47B0_A1F6_4B79C0A506DE_.wvu.FilterData" localSheetId="6" hidden="1">'2.5. Физ. культура и спорт'!$A$11:$S$325</definedName>
    <definedName name="Z_2D6C5878_5CA0_47B0_A1F6_4B79C0A506DE_.wvu.FilterData" localSheetId="5" hidden="1">'2.6. Культура и искусство'!$A$11:$T$11</definedName>
    <definedName name="Z_2D6C5878_5CA0_47B0_A1F6_4B79C0A506DE_.wvu.PrintArea" localSheetId="1" hidden="1">'2.1. СМИ'!$A$1:$Q$16</definedName>
    <definedName name="Z_2D6C5878_5CA0_47B0_A1F6_4B79C0A506DE_.wvu.PrintArea" localSheetId="2" hidden="1">'2.2. Транспорт'!$A$1:$P$19</definedName>
    <definedName name="Z_2D6C5878_5CA0_47B0_A1F6_4B79C0A506DE_.wvu.PrintArea" localSheetId="4" hidden="1">'2.4. Образование'!$A$1:$R$1541</definedName>
    <definedName name="Z_2D6C5878_5CA0_47B0_A1F6_4B79C0A506DE_.wvu.PrintArea" localSheetId="6" hidden="1">'2.5. Физ. культура и спорт'!$A$1:$R$325</definedName>
    <definedName name="Z_2D6C5878_5CA0_47B0_A1F6_4B79C0A506DE_.wvu.PrintArea" localSheetId="5" hidden="1">'2.6. Культура и искусство'!$A$1:$R$72</definedName>
    <definedName name="Z_2D6C5878_5CA0_47B0_A1F6_4B79C0A506DE_.wvu.PrintTitles" localSheetId="4" hidden="1">'2.4. Образование'!$8:$11</definedName>
    <definedName name="Z_2D6C5878_5CA0_47B0_A1F6_4B79C0A506DE_.wvu.PrintTitles" localSheetId="6" hidden="1">'2.5. Физ. культура и спорт'!$8:$11</definedName>
    <definedName name="Z_2D6C5878_5CA0_47B0_A1F6_4B79C0A506DE_.wvu.PrintTitles" localSheetId="5" hidden="1">'2.6. Культура и искусство'!$8:$11</definedName>
    <definedName name="Z_2DD737CB_B0D9_47C5_BDEA_157654AB6C9F_.wvu.FilterData" localSheetId="6" hidden="1">'2.5. Физ. культура и спорт'!$A$11:$S$325</definedName>
    <definedName name="Z_2F9334D6_A533_473B_BC1E_2B78C82C5E2F_.wvu.FilterData" localSheetId="4" hidden="1">'2.4. Образование'!$M$10:$P$1541</definedName>
    <definedName name="Z_2F968017_4CFC_4E60_BE50_CDB2F6944221_.wvu.FilterData" localSheetId="6" hidden="1">'2.5. Физ. культура и спорт'!$A$11:$S$325</definedName>
    <definedName name="Z_36DBF485_7D0C_49F8_A3A3_0F6FBAD79FF9_.wvu.FilterData" localSheetId="6" hidden="1">'2.5. Физ. культура и спорт'!$A$11:$S$325</definedName>
    <definedName name="Z_3BBAFB9D_1760_4C6E_92A6_EDBC26BB995F_.wvu.FilterData" localSheetId="1" hidden="1">'2.1. СМИ'!$A$11:$Q$11</definedName>
    <definedName name="Z_3BBAFB9D_1760_4C6E_92A6_EDBC26BB995F_.wvu.FilterData" localSheetId="5" hidden="1">'2.6. Культура и искусство'!$A$11:$T$294</definedName>
    <definedName name="Z_3E3B0A2F_0BF7_414E_A04F_B9F3DBE95943_.wvu.FilterData" localSheetId="1" hidden="1">'2.1. СМИ'!$A$11:$Q$11</definedName>
    <definedName name="Z_3E3B0A2F_0BF7_414E_A04F_B9F3DBE95943_.wvu.FilterData" localSheetId="4" hidden="1">'2.4. Образование'!$M$10:$P$1541</definedName>
    <definedName name="Z_5091A97D_793B_47DE_B525_A249A8001771_.wvu.FilterData" localSheetId="1" hidden="1">'2.1. СМИ'!$A$11:$Q$11</definedName>
    <definedName name="Z_5091A97D_793B_47DE_B525_A249A8001771_.wvu.FilterData" localSheetId="2" hidden="1">'2.2. Транспорт'!$A$11:$P$19</definedName>
    <definedName name="Z_5091A97D_793B_47DE_B525_A249A8001771_.wvu.FilterData" localSheetId="4" hidden="1">'2.4. Образование'!$A$11:$R$1541</definedName>
    <definedName name="Z_5091A97D_793B_47DE_B525_A249A8001771_.wvu.FilterData" localSheetId="6" hidden="1">'2.5. Физ. культура и спорт'!$A$10:$S$325</definedName>
    <definedName name="Z_5091A97D_793B_47DE_B525_A249A8001771_.wvu.FilterData" localSheetId="5" hidden="1">'2.6. Культура и искусство'!$A$11:$T$294</definedName>
    <definedName name="Z_5091A97D_793B_47DE_B525_A249A8001771_.wvu.PrintArea" localSheetId="1" hidden="1">'2.1. СМИ'!$A$1:$Q$19</definedName>
    <definedName name="Z_5091A97D_793B_47DE_B525_A249A8001771_.wvu.PrintArea" localSheetId="2" hidden="1">'2.2. Транспорт'!$A$1:$P$19</definedName>
    <definedName name="Z_5091A97D_793B_47DE_B525_A249A8001771_.wvu.PrintArea" localSheetId="4" hidden="1">'2.4. Образование'!$A$1:$R$1541</definedName>
    <definedName name="Z_5091A97D_793B_47DE_B525_A249A8001771_.wvu.PrintArea" localSheetId="6" hidden="1">'2.5. Физ. культура и спорт'!$A$1:$R$325</definedName>
    <definedName name="Z_5091A97D_793B_47DE_B525_A249A8001771_.wvu.PrintArea" localSheetId="5" hidden="1">'2.6. Культура и искусство'!$A$1:$R$294</definedName>
    <definedName name="Z_5091A97D_793B_47DE_B525_A249A8001771_.wvu.PrintArea" localSheetId="0" hidden="1">СВОД!$A$1:$D$7</definedName>
    <definedName name="Z_5091A97D_793B_47DE_B525_A249A8001771_.wvu.PrintTitles" localSheetId="4" hidden="1">'2.4. Образование'!$8:$11</definedName>
    <definedName name="Z_5091A97D_793B_47DE_B525_A249A8001771_.wvu.PrintTitles" localSheetId="6" hidden="1">'2.5. Физ. культура и спорт'!$8:$11</definedName>
    <definedName name="Z_5091A97D_793B_47DE_B525_A249A8001771_.wvu.PrintTitles" localSheetId="5" hidden="1">'2.6. Культура и искусство'!$8:$11</definedName>
    <definedName name="Z_5091A97D_793B_47DE_B525_A249A8001771_.wvu.Rows" localSheetId="5" hidden="1">'2.6. Культура и искусство'!#REF!</definedName>
    <definedName name="Z_67E613C5_F76D_4856_8AAA_28FF17E16D22_.wvu.FilterData" localSheetId="4" hidden="1">'2.4. Образование'!$M$10:$P$1541</definedName>
    <definedName name="Z_70AE40DF_D803_42D1_B298_1FEAC20A3AB2_.wvu.FilterData" localSheetId="4" hidden="1">'2.4. Образование'!$M$10:$P$1541</definedName>
    <definedName name="Z_7CA40E2D_3C7F_4549_9D20_25FE1D1E705F_.wvu.FilterData" localSheetId="6" hidden="1">'2.5. Физ. культура и спорт'!$A$11:$S$325</definedName>
    <definedName name="Z_7F65764D_7B01_4E4A_8385_FB1A276FACDF_.wvu.FilterData" localSheetId="4" hidden="1">'2.4. Образование'!$A$11:$Y$1541</definedName>
    <definedName name="Z_81534A1A_8986_49B9_B7A5_081083916047_.wvu.FilterData" localSheetId="5" hidden="1">'2.6. Культура и искусство'!$A$11:$T$294</definedName>
    <definedName name="Z_8B442B61_14BB_49F3_92AE_43A99F677C0D_.wvu.FilterData" localSheetId="6" hidden="1">'2.5. Физ. культура и спорт'!$A$11:$S$325</definedName>
    <definedName name="Z_8D2F08FA_A259_443E_B8F1_13F38A887ED9_.wvu.FilterData" localSheetId="4" hidden="1">'2.4. Образование'!$A$11:$Y$1541</definedName>
    <definedName name="Z_9ECC7E71_FAFE_45D6_B469_8E97733C6B02_.wvu.FilterData" localSheetId="6" hidden="1">'2.5. Физ. культура и спорт'!$A$11:$S$325</definedName>
    <definedName name="Z_A84849BF_FC0F_466E_A1F7_E2020CC4114A_.wvu.FilterData" localSheetId="1" hidden="1">'2.1. СМИ'!$A$11:$Q$11</definedName>
    <definedName name="Z_A84849BF_FC0F_466E_A1F7_E2020CC4114A_.wvu.FilterData" localSheetId="2" hidden="1">'2.2. Транспорт'!$A$11:$P$19</definedName>
    <definedName name="Z_A84849BF_FC0F_466E_A1F7_E2020CC4114A_.wvu.FilterData" localSheetId="4" hidden="1">'2.4. Образование'!$M$10:$P$1541</definedName>
    <definedName name="Z_A84849BF_FC0F_466E_A1F7_E2020CC4114A_.wvu.FilterData" localSheetId="6" hidden="1">'2.5. Физ. культура и спорт'!$A$10:$S$325</definedName>
    <definedName name="Z_A84849BF_FC0F_466E_A1F7_E2020CC4114A_.wvu.FilterData" localSheetId="5" hidden="1">'2.6. Культура и искусство'!$A$11:$T$294</definedName>
    <definedName name="Z_A84849BF_FC0F_466E_A1F7_E2020CC4114A_.wvu.PrintArea" localSheetId="1" hidden="1">'2.1. СМИ'!$A$1:$Q$16</definedName>
    <definedName name="Z_A84849BF_FC0F_466E_A1F7_E2020CC4114A_.wvu.PrintArea" localSheetId="2" hidden="1">'2.2. Транспорт'!$A$1:$P$19</definedName>
    <definedName name="Z_A84849BF_FC0F_466E_A1F7_E2020CC4114A_.wvu.PrintArea" localSheetId="4" hidden="1">'2.4. Образование'!$A$1:$R$1541</definedName>
    <definedName name="Z_A84849BF_FC0F_466E_A1F7_E2020CC4114A_.wvu.PrintArea" localSheetId="6" hidden="1">'2.5. Физ. культура и спорт'!$A$1:$R$325</definedName>
    <definedName name="Z_A84849BF_FC0F_466E_A1F7_E2020CC4114A_.wvu.PrintArea" localSheetId="5" hidden="1">'2.6. Культура и искусство'!$A$1:$R$294</definedName>
    <definedName name="Z_A84849BF_FC0F_466E_A1F7_E2020CC4114A_.wvu.PrintTitles" localSheetId="4" hidden="1">'2.4. Образование'!$8:$11</definedName>
    <definedName name="Z_A84849BF_FC0F_466E_A1F7_E2020CC4114A_.wvu.PrintTitles" localSheetId="6" hidden="1">'2.5. Физ. культура и спорт'!$8:$11</definedName>
    <definedName name="Z_A84849BF_FC0F_466E_A1F7_E2020CC4114A_.wvu.PrintTitles" localSheetId="5" hidden="1">'2.6. Культура и искусство'!$8:$11</definedName>
    <definedName name="Z_AC15E382_E0E0_4B69_B985_14B63E31F51C_.wvu.FilterData" localSheetId="6" hidden="1">'2.5. Физ. культура и спорт'!$A$11:$S$325</definedName>
    <definedName name="Z_B743A953_CA43_4945_9E51_BC474F2C688F_.wvu.FilterData" localSheetId="6" hidden="1">'2.5. Физ. культура и спорт'!$A$11:$S$325</definedName>
    <definedName name="Z_BF2E1CD2_29A2_4222_9DA3_D4919BDF686E_.wvu.FilterData" localSheetId="1" hidden="1">'2.1. СМИ'!$A$11:$Q$11</definedName>
    <definedName name="Z_BF2E1CD2_29A2_4222_9DA3_D4919BDF686E_.wvu.FilterData" localSheetId="2" hidden="1">'2.2. Транспорт'!$A$11:$P$19</definedName>
    <definedName name="Z_BF2E1CD2_29A2_4222_9DA3_D4919BDF686E_.wvu.FilterData" localSheetId="4" hidden="1">'2.4. Образование'!$A$11:$W$1541</definedName>
    <definedName name="Z_BF2E1CD2_29A2_4222_9DA3_D4919BDF686E_.wvu.FilterData" localSheetId="6" hidden="1">'2.5. Физ. культура и спорт'!$A$10:$S$325</definedName>
    <definedName name="Z_BF2E1CD2_29A2_4222_9DA3_D4919BDF686E_.wvu.FilterData" localSheetId="5" hidden="1">'2.6. Культура и искусство'!$A$11:$T$294</definedName>
    <definedName name="Z_BF2E1CD2_29A2_4222_9DA3_D4919BDF686E_.wvu.PrintArea" localSheetId="1" hidden="1">'2.1. СМИ'!$A$1:$Q$16</definedName>
    <definedName name="Z_BF2E1CD2_29A2_4222_9DA3_D4919BDF686E_.wvu.PrintArea" localSheetId="2" hidden="1">'2.2. Транспорт'!$A$1:$P$19</definedName>
    <definedName name="Z_BF2E1CD2_29A2_4222_9DA3_D4919BDF686E_.wvu.PrintArea" localSheetId="4" hidden="1">'2.4. Образование'!$A$1:$R$1541</definedName>
    <definedName name="Z_BF2E1CD2_29A2_4222_9DA3_D4919BDF686E_.wvu.PrintArea" localSheetId="6" hidden="1">'2.5. Физ. культура и спорт'!$A$1:$R$325</definedName>
    <definedName name="Z_BF2E1CD2_29A2_4222_9DA3_D4919BDF686E_.wvu.PrintArea" localSheetId="5" hidden="1">'2.6. Культура и искусство'!$A$1:$R$72</definedName>
    <definedName name="Z_BF2E1CD2_29A2_4222_9DA3_D4919BDF686E_.wvu.PrintTitles" localSheetId="4" hidden="1">'2.4. Образование'!$8:$11</definedName>
    <definedName name="Z_BF2E1CD2_29A2_4222_9DA3_D4919BDF686E_.wvu.PrintTitles" localSheetId="6" hidden="1">'2.5. Физ. культура и спорт'!$8:$11</definedName>
    <definedName name="Z_BF2E1CD2_29A2_4222_9DA3_D4919BDF686E_.wvu.PrintTitles" localSheetId="5" hidden="1">'2.6. Культура и искусство'!$8:$11</definedName>
    <definedName name="Z_C45CE242_2B20_4763_ACD1_FAAE2489E87E_.wvu.FilterData" localSheetId="4" hidden="1">'2.4. Образование'!$M$10:$P$1541</definedName>
    <definedName name="Z_C9F1CD8B_88B9_4DAE_A4BC_66122758B494_.wvu.FilterData" localSheetId="1" hidden="1">'2.1. СМИ'!$A$11:$Q$11</definedName>
    <definedName name="Z_C9F1CD8B_88B9_4DAE_A4BC_66122758B494_.wvu.FilterData" localSheetId="2" hidden="1">'2.2. Транспорт'!$A$11:$P$19</definedName>
    <definedName name="Z_C9F1CD8B_88B9_4DAE_A4BC_66122758B494_.wvu.FilterData" localSheetId="4" hidden="1">'2.4. Образование'!$A$11:$W$1541</definedName>
    <definedName name="Z_C9F1CD8B_88B9_4DAE_A4BC_66122758B494_.wvu.FilterData" localSheetId="6" hidden="1">'2.5. Физ. культура и спорт'!$A$11:$S$325</definedName>
    <definedName name="Z_C9F1CD8B_88B9_4DAE_A4BC_66122758B494_.wvu.FilterData" localSheetId="5" hidden="1">'2.6. Культура и искусство'!$A$11:$T$294</definedName>
    <definedName name="Z_C9F1CD8B_88B9_4DAE_A4BC_66122758B494_.wvu.PrintArea" localSheetId="1" hidden="1">'2.1. СМИ'!$A$1:$Q$19</definedName>
    <definedName name="Z_C9F1CD8B_88B9_4DAE_A4BC_66122758B494_.wvu.PrintArea" localSheetId="2" hidden="1">'2.2. Транспорт'!$A$1:$P$19</definedName>
    <definedName name="Z_C9F1CD8B_88B9_4DAE_A4BC_66122758B494_.wvu.PrintArea" localSheetId="4" hidden="1">'2.4. Образование'!$A$1:$R$1541</definedName>
    <definedName name="Z_C9F1CD8B_88B9_4DAE_A4BC_66122758B494_.wvu.PrintArea" localSheetId="6" hidden="1">'2.5. Физ. культура и спорт'!$A$1:$R$325</definedName>
    <definedName name="Z_C9F1CD8B_88B9_4DAE_A4BC_66122758B494_.wvu.PrintArea" localSheetId="5" hidden="1">'2.6. Культура и искусство'!$A$1:$R$72</definedName>
    <definedName name="Z_C9F1CD8B_88B9_4DAE_A4BC_66122758B494_.wvu.PrintTitles" localSheetId="4" hidden="1">'2.4. Образование'!$8:$11</definedName>
    <definedName name="Z_C9F1CD8B_88B9_4DAE_A4BC_66122758B494_.wvu.PrintTitles" localSheetId="6" hidden="1">'2.5. Физ. культура и спорт'!$8:$11</definedName>
    <definedName name="Z_C9F1CD8B_88B9_4DAE_A4BC_66122758B494_.wvu.PrintTitles" localSheetId="5" hidden="1">'2.6. Культура и искусство'!$8:$11</definedName>
    <definedName name="Z_CED6D38D_B150_4366_AE22_30D69F74BD59_.wvu.FilterData" localSheetId="4" hidden="1">'2.4. Образование'!$M$10:$P$1541</definedName>
    <definedName name="Z_D4F06A79_25CD_4E1F_81D3_D42C35BBC922_.wvu.FilterData" localSheetId="4" hidden="1">'2.4. Образование'!$M$10:$P$1541</definedName>
    <definedName name="Z_DA76438A_0BDE_4A16_AEA8_EFC9376B0CD0_.wvu.FilterData" localSheetId="4" hidden="1">'2.4. Образование'!$M$10:$P$1541</definedName>
    <definedName name="Z_DAF24E9F_6A9A_4493_B995_4A02A8EB1739_.wvu.FilterData" localSheetId="4" hidden="1">'2.4. Образование'!$M$10:$P$1541</definedName>
    <definedName name="Z_DE8DE231_61EC_41F1_BB6F_C716886A0033_.wvu.FilterData" localSheetId="4" hidden="1">'2.4. Образование'!$M$10:$P$1541</definedName>
    <definedName name="Z_E26C9876_3E14_488F_A782_D0CA8D4FC6AB_.wvu.FilterData" localSheetId="4" hidden="1">'2.4. Образование'!$M$10:$P$1541</definedName>
    <definedName name="Z_E4BD1A1A_2CC3_4069_826B_C1E95A927C84_.wvu.FilterData" localSheetId="6" hidden="1">'2.5. Физ. культура и спорт'!$A$11:$S$325</definedName>
    <definedName name="Z_F0AC7664_7833_44DD_99FD_120A3923E500_.wvu.FilterData" localSheetId="1" hidden="1">'2.1. СМИ'!$A$11:$Q$11</definedName>
    <definedName name="Z_F0AC7664_7833_44DD_99FD_120A3923E500_.wvu.FilterData" localSheetId="2" hidden="1">'2.2. Транспорт'!$A$11:$P$19</definedName>
    <definedName name="Z_F0AC7664_7833_44DD_99FD_120A3923E500_.wvu.FilterData" localSheetId="4" hidden="1">'2.4. Образование'!$A$11:$Y$1541</definedName>
    <definedName name="Z_F0AC7664_7833_44DD_99FD_120A3923E500_.wvu.FilterData" localSheetId="6" hidden="1">'2.5. Физ. культура и спорт'!$A$10:$S$325</definedName>
    <definedName name="Z_F0AC7664_7833_44DD_99FD_120A3923E500_.wvu.FilterData" localSheetId="5" hidden="1">'2.6. Культура и искусство'!$A$11:$T$11</definedName>
    <definedName name="Z_F0AC7664_7833_44DD_99FD_120A3923E500_.wvu.PrintArea" localSheetId="1" hidden="1">'2.1. СМИ'!$A$1:$Q$16</definedName>
    <definedName name="Z_F0AC7664_7833_44DD_99FD_120A3923E500_.wvu.PrintArea" localSheetId="2" hidden="1">'2.2. Транспорт'!$A$1:$P$19</definedName>
    <definedName name="Z_F0AC7664_7833_44DD_99FD_120A3923E500_.wvu.PrintArea" localSheetId="4" hidden="1">'2.4. Образование'!$A$1:$R$1541</definedName>
    <definedName name="Z_F0AC7664_7833_44DD_99FD_120A3923E500_.wvu.PrintArea" localSheetId="6" hidden="1">'2.5. Физ. культура и спорт'!$A$1:$R$325</definedName>
    <definedName name="Z_F0AC7664_7833_44DD_99FD_120A3923E500_.wvu.PrintArea" localSheetId="5" hidden="1">'2.6. Культура и искусство'!$A$1:$R$294</definedName>
    <definedName name="Z_F0AC7664_7833_44DD_99FD_120A3923E500_.wvu.PrintTitles" localSheetId="4" hidden="1">'2.4. Образование'!$8:$11</definedName>
    <definedName name="Z_F0AC7664_7833_44DD_99FD_120A3923E500_.wvu.PrintTitles" localSheetId="6" hidden="1">'2.5. Физ. культура и спорт'!$8:$11</definedName>
    <definedName name="Z_F0AC7664_7833_44DD_99FD_120A3923E500_.wvu.PrintTitles" localSheetId="5" hidden="1">'2.6. Культура и искусство'!$8:$11</definedName>
    <definedName name="Z_F534B591_7C6F_4835_B2CD_C5C5454A8183_.wvu.FilterData" localSheetId="6" hidden="1">'2.5. Физ. культура и спорт'!$A$11:$S$325</definedName>
    <definedName name="Z_F71A351D_3B59_4B4B_8B7C_016E2F790291_.wvu.FilterData" localSheetId="4" hidden="1">'2.4. Образование'!$M$10:$P$1541</definedName>
    <definedName name="Z_F9BA47B9_B2D9_42A0_AC57_F283C7A6DD13_.wvu.FilterData" localSheetId="6" hidden="1">'2.5. Физ. культура и спорт'!$A$11:$S$325</definedName>
    <definedName name="Z_FB9F6257_6C04_42F3_9B20_CD739CE2F0C0_.wvu.FilterData" localSheetId="1" hidden="1">'2.1. СМИ'!$A$11:$Q$11</definedName>
    <definedName name="Z_FB9F6257_6C04_42F3_9B20_CD739CE2F0C0_.wvu.FilterData" localSheetId="2" hidden="1">'2.2. Транспорт'!$A$11:$P$19</definedName>
    <definedName name="Z_FB9F6257_6C04_42F3_9B20_CD739CE2F0C0_.wvu.FilterData" localSheetId="4" hidden="1">'2.4. Образование'!$A$11:$Y$1541</definedName>
    <definedName name="Z_FB9F6257_6C04_42F3_9B20_CD739CE2F0C0_.wvu.FilterData" localSheetId="6" hidden="1">'2.5. Физ. культура и спорт'!$A$10:$S$325</definedName>
    <definedName name="Z_FB9F6257_6C04_42F3_9B20_CD739CE2F0C0_.wvu.FilterData" localSheetId="5" hidden="1">'2.6. Культура и искусство'!$A$11:$T$294</definedName>
    <definedName name="Z_FB9F6257_6C04_42F3_9B20_CD739CE2F0C0_.wvu.PrintArea" localSheetId="1" hidden="1">'2.1. СМИ'!$A$1:$Q$19</definedName>
    <definedName name="Z_FB9F6257_6C04_42F3_9B20_CD739CE2F0C0_.wvu.PrintArea" localSheetId="4" hidden="1">'2.4. Образование'!$A$1:$R$1541</definedName>
    <definedName name="Z_FB9F6257_6C04_42F3_9B20_CD739CE2F0C0_.wvu.PrintArea" localSheetId="6" hidden="1">'2.5. Физ. культура и спорт'!$A$1:$R$325</definedName>
    <definedName name="Z_FB9F6257_6C04_42F3_9B20_CD739CE2F0C0_.wvu.PrintArea" localSheetId="5" hidden="1">'2.6. Культура и искусство'!$A$1:$R$294</definedName>
    <definedName name="Z_FB9F6257_6C04_42F3_9B20_CD739CE2F0C0_.wvu.PrintTitles" localSheetId="4" hidden="1">'2.4. Образование'!$8:$11</definedName>
    <definedName name="Z_FB9F6257_6C04_42F3_9B20_CD739CE2F0C0_.wvu.PrintTitles" localSheetId="6" hidden="1">'2.5. Физ. культура и спорт'!$8:$11</definedName>
    <definedName name="Z_FB9F6257_6C04_42F3_9B20_CD739CE2F0C0_.wvu.PrintTitles" localSheetId="5" hidden="1">'2.6. Культура и искусство'!$8:$11</definedName>
    <definedName name="Z_FC85F26C_9B9B_4506_B5EB_E996D84C9448_.wvu.FilterData" localSheetId="6" hidden="1">'2.5. Физ. культура и спорт'!$A$11:$S$325</definedName>
    <definedName name="_xlnm.Print_Titles" localSheetId="4">'2.4. Образование'!$8:$11</definedName>
    <definedName name="_xlnm.Print_Titles" localSheetId="6">'2.5. Физ. культура и спорт'!$8:$11</definedName>
    <definedName name="_xlnm.Print_Titles" localSheetId="5">'2.6. Культура и искусство'!$8:$11</definedName>
    <definedName name="_xlnm.Print_Titles" localSheetId="7">'2.7 Центр развития туризма'!#REF!</definedName>
    <definedName name="_xlnm.Print_Titles" localSheetId="8">'2.8 НЦБД'!#REF!</definedName>
    <definedName name="_xlnm.Print_Area" localSheetId="1">'2.1. СМИ'!$A$1:$Q$25</definedName>
    <definedName name="_xlnm.Print_Area" localSheetId="2">'2.2. Транспорт'!$A$1:$Q$20</definedName>
    <definedName name="_xlnm.Print_Area" localSheetId="4">'2.4. Образование'!$A$1:$S$1885</definedName>
    <definedName name="_xlnm.Print_Area" localSheetId="6">'2.5. Физ. культура и спорт'!$A$1:$S$408</definedName>
    <definedName name="_xlnm.Print_Area" localSheetId="5">'2.6. Культура и искусство'!$A$1:$S$294</definedName>
    <definedName name="_xlnm.Print_Area" localSheetId="7">'2.7 Центр развития туризма'!$A$1:$Q$19</definedName>
    <definedName name="_xlnm.Print_Area" localSheetId="8">'2.8 НЦБД'!$A$1:$Q$18</definedName>
    <definedName name="_xlnm.Print_Area" localSheetId="0">СВОД!$A$1:$E$11</definedName>
  </definedNames>
  <calcPr calcId="152511"/>
  <customWorkbookViews>
    <customWorkbookView name="Малахова Светлана Михайловна - Личное представление" guid="{C9F1CD8B-88B9-4DAE-A4BC-66122758B494}" mergeInterval="0" personalView="1" maximized="1" xWindow="-8" yWindow="-8" windowWidth="1936" windowHeight="1056" tabRatio="746" activeSheetId="5" showComments="commIndAndComment"/>
    <customWorkbookView name="Лачинова Эльвира Бахтияр Кызы - Личное представление" guid="{BF2E1CD2-29A2-4222-9DA3-D4919BDF686E}" mergeInterval="0" personalView="1" maximized="1" xWindow="-8" yWindow="-8" windowWidth="1936" windowHeight="1056" tabRatio="746" activeSheetId="5"/>
    <customWorkbookView name="Гашева Роза Васильевна - Личное представление" guid="{A84849BF-FC0F-466E-A1F7-E2020CC4114A}" mergeInterval="0" personalView="1" xWindow="5" yWindow="3" windowWidth="1296" windowHeight="1010" tabRatio="746" activeSheetId="6"/>
    <customWorkbookView name="Петленко Алина Олеговна - Личное представление" guid="{5091A97D-793B-47DE-B525-A249A8001771}" mergeInterval="0" personalView="1" maximized="1" xWindow="-8" yWindow="-8" windowWidth="1936" windowHeight="1066" tabRatio="746" activeSheetId="5"/>
    <customWorkbookView name="Анна Александровна Тапсиева - Личное представление" guid="{F0AC7664-7833-44DD-99FD-120A3923E500}" mergeInterval="0" personalView="1" maximized="1" xWindow="-8" yWindow="-8" windowWidth="1936" windowHeight="1066" tabRatio="746" activeSheetId="7"/>
    <customWorkbookView name="Пикулина Анна Олеговна - Личное представление" guid="{2D6C5878-5CA0-47B0-A1F6-4B79C0A506DE}" mergeInterval="0" personalView="1" maximized="1" xWindow="-8" yWindow="-8" windowWidth="1936" windowHeight="1056" tabRatio="746" activeSheetId="5" showComments="commIndAndComment"/>
    <customWorkbookView name="Воронина Марина Петровна - Личное представление" guid="{FB9F6257-6C04-42F3-9B20-CD739CE2F0C0}" mergeInterval="0" personalView="1" maximized="1" xWindow="-8" yWindow="-8" windowWidth="1936" windowHeight="1066" tabRatio="746" activeSheetId="5"/>
  </customWorkbookViews>
</workbook>
</file>

<file path=xl/calcChain.xml><?xml version="1.0" encoding="utf-8"?>
<calcChain xmlns="http://schemas.openxmlformats.org/spreadsheetml/2006/main">
  <c r="I15" i="48" l="1"/>
  <c r="G18" i="48"/>
  <c r="M16" i="48"/>
  <c r="N18" i="48" s="1"/>
  <c r="H16" i="48"/>
  <c r="G14" i="48"/>
  <c r="M12" i="48"/>
  <c r="N14" i="48" s="1"/>
  <c r="H15" i="48"/>
  <c r="I11" i="48"/>
  <c r="O18" i="48" l="1"/>
  <c r="O14" i="48"/>
  <c r="O431" i="47" l="1"/>
  <c r="P432" i="47" s="1"/>
  <c r="O1545" i="47"/>
  <c r="O1544" i="47"/>
  <c r="J1544" i="47"/>
  <c r="H1544" i="47"/>
  <c r="O1543" i="47"/>
  <c r="J1543" i="47"/>
  <c r="H1543" i="47"/>
  <c r="I1546" i="47" s="1"/>
  <c r="K1542" i="47"/>
  <c r="J1542" i="47"/>
  <c r="O1540" i="47"/>
  <c r="H1540" i="47"/>
  <c r="I1541" i="47" s="1"/>
  <c r="P1541" i="47" s="1"/>
  <c r="Q1541" i="47" s="1"/>
  <c r="K1539" i="47"/>
  <c r="O1535" i="47"/>
  <c r="H1535" i="47"/>
  <c r="O1534" i="47"/>
  <c r="H1534" i="47"/>
  <c r="O1530" i="47"/>
  <c r="P1531" i="47" s="1"/>
  <c r="H1529" i="47"/>
  <c r="I1531" i="47" s="1"/>
  <c r="K1528" i="47"/>
  <c r="J1528" i="47"/>
  <c r="O1526" i="47"/>
  <c r="P1527" i="47" s="1"/>
  <c r="H1525" i="47"/>
  <c r="I1527" i="47" s="1"/>
  <c r="O1522" i="47"/>
  <c r="O1521" i="47"/>
  <c r="O1520" i="47"/>
  <c r="H1519" i="47"/>
  <c r="I1523" i="47" s="1"/>
  <c r="K1518" i="47"/>
  <c r="J1518" i="47"/>
  <c r="O1516" i="47"/>
  <c r="K1516" i="47"/>
  <c r="H1516" i="47"/>
  <c r="O1515" i="47"/>
  <c r="K1515" i="47"/>
  <c r="H1515" i="47"/>
  <c r="O1514" i="47"/>
  <c r="K1514" i="47"/>
  <c r="H1514" i="47"/>
  <c r="O1513" i="47"/>
  <c r="K1513" i="47"/>
  <c r="H1513" i="47"/>
  <c r="O1509" i="47"/>
  <c r="O1508" i="47"/>
  <c r="O1507" i="47"/>
  <c r="H1506" i="47"/>
  <c r="I1510" i="47" s="1"/>
  <c r="O1503" i="47"/>
  <c r="P1504" i="47" s="1"/>
  <c r="H1503" i="47"/>
  <c r="I1504" i="47" s="1"/>
  <c r="K1502" i="47"/>
  <c r="J1502" i="47"/>
  <c r="O1500" i="47"/>
  <c r="H1500" i="47"/>
  <c r="O1499" i="47"/>
  <c r="H1499" i="47"/>
  <c r="O1498" i="47"/>
  <c r="H1498" i="47"/>
  <c r="O1497" i="47"/>
  <c r="H1497" i="47"/>
  <c r="K1495" i="47"/>
  <c r="O1493" i="47"/>
  <c r="O1492" i="47"/>
  <c r="O1491" i="47"/>
  <c r="O1490" i="47"/>
  <c r="H1488" i="47"/>
  <c r="I1494" i="47" s="1"/>
  <c r="O1485" i="47"/>
  <c r="P1486" i="47" s="1"/>
  <c r="H1485" i="47"/>
  <c r="I1486" i="47" s="1"/>
  <c r="K1484" i="47"/>
  <c r="J1484" i="47"/>
  <c r="O1482" i="47"/>
  <c r="K1482" i="47"/>
  <c r="H1482" i="47"/>
  <c r="O1481" i="47"/>
  <c r="K1481" i="47"/>
  <c r="H1481" i="47"/>
  <c r="O1480" i="47"/>
  <c r="K1480" i="47"/>
  <c r="H1480" i="47"/>
  <c r="O1479" i="47"/>
  <c r="K1479" i="47"/>
  <c r="H1479" i="47"/>
  <c r="O1475" i="47"/>
  <c r="O1474" i="47"/>
  <c r="O1473" i="47"/>
  <c r="O1472" i="47"/>
  <c r="H1471" i="47"/>
  <c r="I1476" i="47" s="1"/>
  <c r="O1468" i="47"/>
  <c r="K1468" i="47"/>
  <c r="H1468" i="47"/>
  <c r="O1467" i="47"/>
  <c r="K1467" i="47"/>
  <c r="H1467" i="47"/>
  <c r="O1466" i="47"/>
  <c r="K1466" i="47"/>
  <c r="H1466" i="47"/>
  <c r="O1465" i="47"/>
  <c r="K1465" i="47"/>
  <c r="H1465" i="47"/>
  <c r="K1463" i="47"/>
  <c r="O1461" i="47"/>
  <c r="P1462" i="47" s="1"/>
  <c r="H1461" i="47"/>
  <c r="I1462" i="47" s="1"/>
  <c r="K1460" i="47"/>
  <c r="J1460" i="47"/>
  <c r="O1458" i="47"/>
  <c r="O1457" i="47"/>
  <c r="O1456" i="47"/>
  <c r="O1455" i="47"/>
  <c r="H1454" i="47"/>
  <c r="I1459" i="47" s="1"/>
  <c r="O1451" i="47"/>
  <c r="P1452" i="47" s="1"/>
  <c r="H1451" i="47"/>
  <c r="I1452" i="47" s="1"/>
  <c r="K1450" i="47"/>
  <c r="O1448" i="47"/>
  <c r="K1448" i="47"/>
  <c r="H1448" i="47"/>
  <c r="H1447" i="47"/>
  <c r="O1446" i="47"/>
  <c r="K1446" i="47"/>
  <c r="H1446" i="47"/>
  <c r="O1445" i="47"/>
  <c r="K1445" i="47"/>
  <c r="H1445" i="47"/>
  <c r="O1441" i="47"/>
  <c r="O1440" i="47"/>
  <c r="H1440" i="47"/>
  <c r="I1442" i="47" s="1"/>
  <c r="O1437" i="47"/>
  <c r="P1438" i="47" s="1"/>
  <c r="J1437" i="47"/>
  <c r="H1437" i="47"/>
  <c r="I1438" i="47" s="1"/>
  <c r="K1436" i="47"/>
  <c r="H1434" i="47"/>
  <c r="O1433" i="47"/>
  <c r="P1435" i="47" s="1"/>
  <c r="H1433" i="47"/>
  <c r="H1430" i="47"/>
  <c r="H1429" i="47"/>
  <c r="H1428" i="47"/>
  <c r="H1427" i="47"/>
  <c r="O1426" i="47"/>
  <c r="P1431" i="47" s="1"/>
  <c r="H1426" i="47"/>
  <c r="K1425" i="47"/>
  <c r="H1423" i="47"/>
  <c r="H1422" i="47"/>
  <c r="H1421" i="47"/>
  <c r="H1420" i="47"/>
  <c r="O1419" i="47"/>
  <c r="P1424" i="47" s="1"/>
  <c r="H1419" i="47"/>
  <c r="H1416" i="47"/>
  <c r="H1415" i="47"/>
  <c r="H1414" i="47"/>
  <c r="H1413" i="47"/>
  <c r="O1412" i="47"/>
  <c r="P1417" i="47" s="1"/>
  <c r="H1412" i="47"/>
  <c r="O1409" i="47"/>
  <c r="P1410" i="47" s="1"/>
  <c r="J1409" i="47"/>
  <c r="H1409" i="47"/>
  <c r="I1410" i="47" s="1"/>
  <c r="K1408" i="47"/>
  <c r="H1406" i="47"/>
  <c r="O1405" i="47"/>
  <c r="P1407" i="47" s="1"/>
  <c r="H1405" i="47"/>
  <c r="H1402" i="47"/>
  <c r="H1401" i="47"/>
  <c r="H1400" i="47"/>
  <c r="H1399" i="47"/>
  <c r="O1398" i="47"/>
  <c r="P1403" i="47" s="1"/>
  <c r="H1398" i="47"/>
  <c r="K1397" i="47"/>
  <c r="H1395" i="47"/>
  <c r="H1394" i="47"/>
  <c r="H1393" i="47"/>
  <c r="H1392" i="47"/>
  <c r="O1391" i="47"/>
  <c r="P1396" i="47" s="1"/>
  <c r="H1391" i="47"/>
  <c r="H1388" i="47"/>
  <c r="H1387" i="47"/>
  <c r="H1386" i="47"/>
  <c r="H1385" i="47"/>
  <c r="O1384" i="47"/>
  <c r="P1389" i="47" s="1"/>
  <c r="H1384" i="47"/>
  <c r="O1381" i="47"/>
  <c r="P1382" i="47" s="1"/>
  <c r="J1381" i="47"/>
  <c r="H1381" i="47"/>
  <c r="I1382" i="47" s="1"/>
  <c r="K1380" i="47"/>
  <c r="H1378" i="47"/>
  <c r="O1377" i="47"/>
  <c r="P1379" i="47" s="1"/>
  <c r="H1377" i="47"/>
  <c r="H1374" i="47"/>
  <c r="H1373" i="47"/>
  <c r="H1372" i="47"/>
  <c r="H1371" i="47"/>
  <c r="O1370" i="47"/>
  <c r="P1375" i="47" s="1"/>
  <c r="H1370" i="47"/>
  <c r="K1369" i="47"/>
  <c r="H1367" i="47"/>
  <c r="H1366" i="47"/>
  <c r="H1365" i="47"/>
  <c r="H1364" i="47"/>
  <c r="O1363" i="47"/>
  <c r="P1368" i="47" s="1"/>
  <c r="H1363" i="47"/>
  <c r="H1360" i="47"/>
  <c r="H1359" i="47"/>
  <c r="H1358" i="47"/>
  <c r="H1357" i="47"/>
  <c r="O1356" i="47"/>
  <c r="P1361" i="47" s="1"/>
  <c r="H1356" i="47"/>
  <c r="O1353" i="47"/>
  <c r="P1354" i="47" s="1"/>
  <c r="J1353" i="47"/>
  <c r="H1353" i="47"/>
  <c r="I1354" i="47" s="1"/>
  <c r="K1352" i="47"/>
  <c r="H1350" i="47"/>
  <c r="O1349" i="47"/>
  <c r="P1351" i="47" s="1"/>
  <c r="H1349" i="47"/>
  <c r="H1346" i="47"/>
  <c r="H1345" i="47"/>
  <c r="H1344" i="47"/>
  <c r="H1343" i="47"/>
  <c r="O1342" i="47"/>
  <c r="P1347" i="47" s="1"/>
  <c r="H1342" i="47"/>
  <c r="K1341" i="47"/>
  <c r="H1339" i="47"/>
  <c r="H1338" i="47"/>
  <c r="H1337" i="47"/>
  <c r="H1336" i="47"/>
  <c r="O1335" i="47"/>
  <c r="P1340" i="47" s="1"/>
  <c r="H1335" i="47"/>
  <c r="H1332" i="47"/>
  <c r="H1331" i="47"/>
  <c r="H1330" i="47"/>
  <c r="H1329" i="47"/>
  <c r="O1328" i="47"/>
  <c r="P1333" i="47" s="1"/>
  <c r="H1328" i="47"/>
  <c r="O1325" i="47"/>
  <c r="P1326" i="47" s="1"/>
  <c r="J1325" i="47"/>
  <c r="H1325" i="47"/>
  <c r="I1326" i="47" s="1"/>
  <c r="K1324" i="47"/>
  <c r="H1322" i="47"/>
  <c r="O1321" i="47"/>
  <c r="P1323" i="47" s="1"/>
  <c r="H1321" i="47"/>
  <c r="H1318" i="47"/>
  <c r="H1317" i="47"/>
  <c r="H1316" i="47"/>
  <c r="H1315" i="47"/>
  <c r="O1314" i="47"/>
  <c r="P1319" i="47" s="1"/>
  <c r="H1314" i="47"/>
  <c r="K1313" i="47"/>
  <c r="H1311" i="47"/>
  <c r="H1310" i="47"/>
  <c r="H1309" i="47"/>
  <c r="H1308" i="47"/>
  <c r="O1307" i="47"/>
  <c r="P1312" i="47" s="1"/>
  <c r="H1307" i="47"/>
  <c r="H1304" i="47"/>
  <c r="H1303" i="47"/>
  <c r="H1302" i="47"/>
  <c r="H1301" i="47"/>
  <c r="O1300" i="47"/>
  <c r="P1305" i="47" s="1"/>
  <c r="H1300" i="47"/>
  <c r="O1297" i="47"/>
  <c r="P1298" i="47" s="1"/>
  <c r="J1297" i="47"/>
  <c r="H1297" i="47"/>
  <c r="I1298" i="47" s="1"/>
  <c r="K1296" i="47"/>
  <c r="H1294" i="47"/>
  <c r="O1293" i="47"/>
  <c r="P1295" i="47" s="1"/>
  <c r="H1293" i="47"/>
  <c r="H1290" i="47"/>
  <c r="H1289" i="47"/>
  <c r="H1288" i="47"/>
  <c r="H1287" i="47"/>
  <c r="O1286" i="47"/>
  <c r="P1291" i="47" s="1"/>
  <c r="H1286" i="47"/>
  <c r="K1285" i="47"/>
  <c r="H1283" i="47"/>
  <c r="H1282" i="47"/>
  <c r="H1281" i="47"/>
  <c r="H1280" i="47"/>
  <c r="O1279" i="47"/>
  <c r="P1284" i="47" s="1"/>
  <c r="H1279" i="47"/>
  <c r="H1276" i="47"/>
  <c r="H1275" i="47"/>
  <c r="H1274" i="47"/>
  <c r="H1273" i="47"/>
  <c r="O1272" i="47"/>
  <c r="P1277" i="47" s="1"/>
  <c r="H1272" i="47"/>
  <c r="O1269" i="47"/>
  <c r="P1270" i="47" s="1"/>
  <c r="J1269" i="47"/>
  <c r="H1269" i="47"/>
  <c r="I1270" i="47" s="1"/>
  <c r="K1268" i="47"/>
  <c r="H1266" i="47"/>
  <c r="O1265" i="47"/>
  <c r="P1267" i="47" s="1"/>
  <c r="H1265" i="47"/>
  <c r="H1262" i="47"/>
  <c r="H1261" i="47"/>
  <c r="H1260" i="47"/>
  <c r="H1259" i="47"/>
  <c r="O1258" i="47"/>
  <c r="P1263" i="47" s="1"/>
  <c r="H1258" i="47"/>
  <c r="K1257" i="47"/>
  <c r="H1255" i="47"/>
  <c r="H1254" i="47"/>
  <c r="H1253" i="47"/>
  <c r="H1252" i="47"/>
  <c r="O1251" i="47"/>
  <c r="P1256" i="47" s="1"/>
  <c r="H1251" i="47"/>
  <c r="H1248" i="47"/>
  <c r="H1247" i="47"/>
  <c r="H1246" i="47"/>
  <c r="H1245" i="47"/>
  <c r="O1244" i="47"/>
  <c r="P1249" i="47" s="1"/>
  <c r="H1244" i="47"/>
  <c r="O1241" i="47"/>
  <c r="P1242" i="47" s="1"/>
  <c r="J1241" i="47"/>
  <c r="H1241" i="47"/>
  <c r="I1242" i="47" s="1"/>
  <c r="K1240" i="47"/>
  <c r="H1238" i="47"/>
  <c r="O1237" i="47"/>
  <c r="P1239" i="47" s="1"/>
  <c r="H1237" i="47"/>
  <c r="H1234" i="47"/>
  <c r="H1233" i="47"/>
  <c r="H1232" i="47"/>
  <c r="H1231" i="47"/>
  <c r="O1230" i="47"/>
  <c r="P1235" i="47" s="1"/>
  <c r="H1230" i="47"/>
  <c r="K1229" i="47"/>
  <c r="H1227" i="47"/>
  <c r="H1226" i="47"/>
  <c r="H1225" i="47"/>
  <c r="H1224" i="47"/>
  <c r="O1223" i="47"/>
  <c r="P1228" i="47" s="1"/>
  <c r="H1223" i="47"/>
  <c r="H1220" i="47"/>
  <c r="H1219" i="47"/>
  <c r="H1218" i="47"/>
  <c r="H1217" i="47"/>
  <c r="O1216" i="47"/>
  <c r="P1221" i="47" s="1"/>
  <c r="H1216" i="47"/>
  <c r="O1213" i="47"/>
  <c r="P1214" i="47" s="1"/>
  <c r="J1213" i="47"/>
  <c r="H1213" i="47"/>
  <c r="I1214" i="47" s="1"/>
  <c r="K1212" i="47"/>
  <c r="H1210" i="47"/>
  <c r="O1209" i="47"/>
  <c r="P1211" i="47" s="1"/>
  <c r="H1209" i="47"/>
  <c r="H1206" i="47"/>
  <c r="H1205" i="47"/>
  <c r="H1204" i="47"/>
  <c r="H1203" i="47"/>
  <c r="O1202" i="47"/>
  <c r="P1207" i="47" s="1"/>
  <c r="H1202" i="47"/>
  <c r="K1201" i="47"/>
  <c r="H1199" i="47"/>
  <c r="H1198" i="47"/>
  <c r="H1197" i="47"/>
  <c r="H1196" i="47"/>
  <c r="O1195" i="47"/>
  <c r="P1200" i="47" s="1"/>
  <c r="H1195" i="47"/>
  <c r="H1192" i="47"/>
  <c r="H1191" i="47"/>
  <c r="H1190" i="47"/>
  <c r="H1189" i="47"/>
  <c r="O1188" i="47"/>
  <c r="P1193" i="47" s="1"/>
  <c r="H1188" i="47"/>
  <c r="O1185" i="47"/>
  <c r="P1186" i="47" s="1"/>
  <c r="J1185" i="47"/>
  <c r="H1185" i="47"/>
  <c r="I1186" i="47" s="1"/>
  <c r="K1184" i="47"/>
  <c r="H1182" i="47"/>
  <c r="O1181" i="47"/>
  <c r="P1183" i="47" s="1"/>
  <c r="H1181" i="47"/>
  <c r="H1178" i="47"/>
  <c r="H1177" i="47"/>
  <c r="H1176" i="47"/>
  <c r="H1175" i="47"/>
  <c r="O1174" i="47"/>
  <c r="P1179" i="47" s="1"/>
  <c r="H1174" i="47"/>
  <c r="K1173" i="47"/>
  <c r="H1171" i="47"/>
  <c r="H1170" i="47"/>
  <c r="H1169" i="47"/>
  <c r="H1168" i="47"/>
  <c r="O1167" i="47"/>
  <c r="P1172" i="47" s="1"/>
  <c r="H1167" i="47"/>
  <c r="H1164" i="47"/>
  <c r="H1163" i="47"/>
  <c r="H1162" i="47"/>
  <c r="H1161" i="47"/>
  <c r="O1160" i="47"/>
  <c r="P1165" i="47" s="1"/>
  <c r="H1160" i="47"/>
  <c r="O1157" i="47"/>
  <c r="P1158" i="47" s="1"/>
  <c r="H1157" i="47"/>
  <c r="I1158" i="47" s="1"/>
  <c r="K1156" i="47"/>
  <c r="H1154" i="47"/>
  <c r="O1153" i="47"/>
  <c r="P1155" i="47" s="1"/>
  <c r="H1153" i="47"/>
  <c r="H1150" i="47"/>
  <c r="H1149" i="47"/>
  <c r="H1148" i="47"/>
  <c r="H1147" i="47"/>
  <c r="O1146" i="47"/>
  <c r="P1151" i="47" s="1"/>
  <c r="H1146" i="47"/>
  <c r="K1145" i="47"/>
  <c r="H1143" i="47"/>
  <c r="H1142" i="47"/>
  <c r="H1141" i="47"/>
  <c r="H1140" i="47"/>
  <c r="O1139" i="47"/>
  <c r="P1144" i="47" s="1"/>
  <c r="H1139" i="47"/>
  <c r="H1136" i="47"/>
  <c r="H1135" i="47"/>
  <c r="H1134" i="47"/>
  <c r="H1133" i="47"/>
  <c r="O1132" i="47"/>
  <c r="P1137" i="47" s="1"/>
  <c r="H1132" i="47"/>
  <c r="O1129" i="47"/>
  <c r="P1130" i="47" s="1"/>
  <c r="H1129" i="47"/>
  <c r="I1130" i="47" s="1"/>
  <c r="K1128" i="47"/>
  <c r="H1126" i="47"/>
  <c r="O1125" i="47"/>
  <c r="P1127" i="47" s="1"/>
  <c r="H1125" i="47"/>
  <c r="H1122" i="47"/>
  <c r="H1121" i="47"/>
  <c r="H1120" i="47"/>
  <c r="H1119" i="47"/>
  <c r="O1118" i="47"/>
  <c r="P1123" i="47" s="1"/>
  <c r="H1118" i="47"/>
  <c r="K1117" i="47"/>
  <c r="H1115" i="47"/>
  <c r="H1114" i="47"/>
  <c r="H1113" i="47"/>
  <c r="H1112" i="47"/>
  <c r="O1111" i="47"/>
  <c r="P1116" i="47" s="1"/>
  <c r="H1111" i="47"/>
  <c r="H1108" i="47"/>
  <c r="H1107" i="47"/>
  <c r="H1106" i="47"/>
  <c r="H1105" i="47"/>
  <c r="O1104" i="47"/>
  <c r="P1109" i="47" s="1"/>
  <c r="H1104" i="47"/>
  <c r="O1101" i="47"/>
  <c r="P1102" i="47" s="1"/>
  <c r="H1101" i="47"/>
  <c r="I1102" i="47" s="1"/>
  <c r="K1100" i="47"/>
  <c r="H1098" i="47"/>
  <c r="O1097" i="47"/>
  <c r="P1099" i="47" s="1"/>
  <c r="H1097" i="47"/>
  <c r="I1099" i="47" s="1"/>
  <c r="H1094" i="47"/>
  <c r="H1093" i="47"/>
  <c r="H1092" i="47"/>
  <c r="H1091" i="47"/>
  <c r="O1090" i="47"/>
  <c r="P1095" i="47" s="1"/>
  <c r="H1090" i="47"/>
  <c r="K1089" i="47"/>
  <c r="H1087" i="47"/>
  <c r="H1086" i="47"/>
  <c r="H1085" i="47"/>
  <c r="H1084" i="47"/>
  <c r="O1083" i="47"/>
  <c r="P1088" i="47" s="1"/>
  <c r="H1083" i="47"/>
  <c r="H1080" i="47"/>
  <c r="H1079" i="47"/>
  <c r="H1078" i="47"/>
  <c r="H1077" i="47"/>
  <c r="O1076" i="47"/>
  <c r="P1081" i="47" s="1"/>
  <c r="H1076" i="47"/>
  <c r="O1073" i="47"/>
  <c r="P1074" i="47" s="1"/>
  <c r="J1073" i="47"/>
  <c r="H1073" i="47"/>
  <c r="I1074" i="47" s="1"/>
  <c r="K1072" i="47"/>
  <c r="J1072" i="47"/>
  <c r="O1070" i="47"/>
  <c r="P1071" i="47" s="1"/>
  <c r="J1070" i="47"/>
  <c r="H1070" i="47"/>
  <c r="I1071" i="47" s="1"/>
  <c r="K1069" i="47"/>
  <c r="J1069" i="47"/>
  <c r="O1067" i="47"/>
  <c r="P1068" i="47" s="1"/>
  <c r="J1067" i="47"/>
  <c r="H1067" i="47"/>
  <c r="I1068" i="47" s="1"/>
  <c r="K1066" i="47"/>
  <c r="J1066" i="47"/>
  <c r="H1064" i="47"/>
  <c r="O1063" i="47"/>
  <c r="P1065" i="47" s="1"/>
  <c r="H1063" i="47"/>
  <c r="H1060" i="47"/>
  <c r="H1059" i="47"/>
  <c r="H1058" i="47"/>
  <c r="H1057" i="47"/>
  <c r="O1056" i="47"/>
  <c r="P1061" i="47" s="1"/>
  <c r="H1056" i="47"/>
  <c r="K1055" i="47"/>
  <c r="H1053" i="47"/>
  <c r="H1052" i="47"/>
  <c r="H1051" i="47"/>
  <c r="H1050" i="47"/>
  <c r="O1049" i="47"/>
  <c r="P1054" i="47" s="1"/>
  <c r="H1049" i="47"/>
  <c r="H1046" i="47"/>
  <c r="H1045" i="47"/>
  <c r="H1044" i="47"/>
  <c r="H1043" i="47"/>
  <c r="O1042" i="47"/>
  <c r="P1047" i="47" s="1"/>
  <c r="H1042" i="47"/>
  <c r="O1039" i="47"/>
  <c r="P1040" i="47" s="1"/>
  <c r="H1039" i="47"/>
  <c r="I1040" i="47" s="1"/>
  <c r="K1038" i="47"/>
  <c r="H1036" i="47"/>
  <c r="O1035" i="47"/>
  <c r="P1037" i="47" s="1"/>
  <c r="H1035" i="47"/>
  <c r="H1032" i="47"/>
  <c r="H1031" i="47"/>
  <c r="H1030" i="47"/>
  <c r="H1029" i="47"/>
  <c r="O1028" i="47"/>
  <c r="P1033" i="47" s="1"/>
  <c r="H1028" i="47"/>
  <c r="K1027" i="47"/>
  <c r="H1025" i="47"/>
  <c r="H1024" i="47"/>
  <c r="H1023" i="47"/>
  <c r="H1022" i="47"/>
  <c r="O1021" i="47"/>
  <c r="P1026" i="47" s="1"/>
  <c r="H1021" i="47"/>
  <c r="H1018" i="47"/>
  <c r="H1017" i="47"/>
  <c r="H1016" i="47"/>
  <c r="H1015" i="47"/>
  <c r="O1014" i="47"/>
  <c r="P1019" i="47" s="1"/>
  <c r="H1014" i="47"/>
  <c r="O1011" i="47"/>
  <c r="P1012" i="47" s="1"/>
  <c r="H1011" i="47"/>
  <c r="I1012" i="47" s="1"/>
  <c r="K1010" i="47"/>
  <c r="H1008" i="47"/>
  <c r="O1007" i="47"/>
  <c r="P1009" i="47" s="1"/>
  <c r="H1007" i="47"/>
  <c r="H1004" i="47"/>
  <c r="H1003" i="47"/>
  <c r="H1002" i="47"/>
  <c r="H1001" i="47"/>
  <c r="O1000" i="47"/>
  <c r="P1005" i="47" s="1"/>
  <c r="H1000" i="47"/>
  <c r="K999" i="47"/>
  <c r="H997" i="47"/>
  <c r="H996" i="47"/>
  <c r="H995" i="47"/>
  <c r="H994" i="47"/>
  <c r="O993" i="47"/>
  <c r="P998" i="47" s="1"/>
  <c r="H993" i="47"/>
  <c r="H990" i="47"/>
  <c r="H989" i="47"/>
  <c r="H988" i="47"/>
  <c r="H987" i="47"/>
  <c r="O986" i="47"/>
  <c r="P991" i="47" s="1"/>
  <c r="H986" i="47"/>
  <c r="O983" i="47"/>
  <c r="P984" i="47" s="1"/>
  <c r="J983" i="47"/>
  <c r="H983" i="47"/>
  <c r="I984" i="47" s="1"/>
  <c r="K982" i="47"/>
  <c r="J982" i="47"/>
  <c r="H980" i="47"/>
  <c r="I981" i="47" s="1"/>
  <c r="O979" i="47"/>
  <c r="P981" i="47" s="1"/>
  <c r="H979" i="47"/>
  <c r="H976" i="47"/>
  <c r="H975" i="47"/>
  <c r="H974" i="47"/>
  <c r="H973" i="47"/>
  <c r="O972" i="47"/>
  <c r="P977" i="47" s="1"/>
  <c r="H972" i="47"/>
  <c r="K971" i="47"/>
  <c r="H969" i="47"/>
  <c r="H968" i="47"/>
  <c r="H967" i="47"/>
  <c r="H966" i="47"/>
  <c r="O965" i="47"/>
  <c r="P970" i="47" s="1"/>
  <c r="H965" i="47"/>
  <c r="H962" i="47"/>
  <c r="H961" i="47"/>
  <c r="H960" i="47"/>
  <c r="H959" i="47"/>
  <c r="O958" i="47"/>
  <c r="P963" i="47" s="1"/>
  <c r="H958" i="47"/>
  <c r="H955" i="47"/>
  <c r="O954" i="47"/>
  <c r="P956" i="47" s="1"/>
  <c r="H954" i="47"/>
  <c r="O951" i="47"/>
  <c r="O950" i="47"/>
  <c r="O949" i="47"/>
  <c r="H949" i="47"/>
  <c r="I952" i="47" s="1"/>
  <c r="O946" i="47"/>
  <c r="P947" i="47" s="1"/>
  <c r="H946" i="47"/>
  <c r="I947" i="47" s="1"/>
  <c r="K945" i="47"/>
  <c r="H943" i="47"/>
  <c r="O942" i="47"/>
  <c r="P944" i="47" s="1"/>
  <c r="H942" i="47"/>
  <c r="H939" i="47"/>
  <c r="H938" i="47"/>
  <c r="H937" i="47"/>
  <c r="H936" i="47"/>
  <c r="O935" i="47"/>
  <c r="P940" i="47" s="1"/>
  <c r="H935" i="47"/>
  <c r="K934" i="47"/>
  <c r="H932" i="47"/>
  <c r="H931" i="47"/>
  <c r="H930" i="47"/>
  <c r="H929" i="47"/>
  <c r="O928" i="47"/>
  <c r="P933" i="47" s="1"/>
  <c r="H928" i="47"/>
  <c r="H925" i="47"/>
  <c r="H924" i="47"/>
  <c r="H923" i="47"/>
  <c r="H922" i="47"/>
  <c r="O921" i="47"/>
  <c r="P926" i="47" s="1"/>
  <c r="H921" i="47"/>
  <c r="O918" i="47"/>
  <c r="P919" i="47" s="1"/>
  <c r="H918" i="47"/>
  <c r="I919" i="47" s="1"/>
  <c r="K917" i="47"/>
  <c r="H915" i="47"/>
  <c r="O914" i="47"/>
  <c r="P916" i="47" s="1"/>
  <c r="H914" i="47"/>
  <c r="H911" i="47"/>
  <c r="H910" i="47"/>
  <c r="H909" i="47"/>
  <c r="H908" i="47"/>
  <c r="O907" i="47"/>
  <c r="P912" i="47" s="1"/>
  <c r="H907" i="47"/>
  <c r="K906" i="47"/>
  <c r="H904" i="47"/>
  <c r="H903" i="47"/>
  <c r="H902" i="47"/>
  <c r="H901" i="47"/>
  <c r="O900" i="47"/>
  <c r="P905" i="47" s="1"/>
  <c r="H900" i="47"/>
  <c r="H897" i="47"/>
  <c r="H896" i="47"/>
  <c r="H895" i="47"/>
  <c r="H894" i="47"/>
  <c r="O893" i="47"/>
  <c r="P898" i="47" s="1"/>
  <c r="H893" i="47"/>
  <c r="O890" i="47"/>
  <c r="P891" i="47" s="1"/>
  <c r="J890" i="47"/>
  <c r="H890" i="47"/>
  <c r="I891" i="47" s="1"/>
  <c r="K889" i="47"/>
  <c r="J889" i="47"/>
  <c r="H887" i="47"/>
  <c r="H886" i="47"/>
  <c r="H885" i="47"/>
  <c r="H884" i="47"/>
  <c r="O883" i="47"/>
  <c r="P888" i="47" s="1"/>
  <c r="H883" i="47"/>
  <c r="K882" i="47"/>
  <c r="H880" i="47"/>
  <c r="H879" i="47"/>
  <c r="H878" i="47"/>
  <c r="H877" i="47"/>
  <c r="O876" i="47"/>
  <c r="P881" i="47" s="1"/>
  <c r="H876" i="47"/>
  <c r="H873" i="47"/>
  <c r="H872" i="47"/>
  <c r="H871" i="47"/>
  <c r="H870" i="47"/>
  <c r="O869" i="47"/>
  <c r="P874" i="47" s="1"/>
  <c r="H869" i="47"/>
  <c r="O866" i="47"/>
  <c r="P867" i="47" s="1"/>
  <c r="H866" i="47"/>
  <c r="I867" i="47" s="1"/>
  <c r="K865" i="47"/>
  <c r="H863" i="47"/>
  <c r="O862" i="47"/>
  <c r="P864" i="47" s="1"/>
  <c r="H862" i="47"/>
  <c r="H859" i="47"/>
  <c r="H858" i="47"/>
  <c r="H857" i="47"/>
  <c r="H856" i="47"/>
  <c r="O855" i="47"/>
  <c r="P860" i="47" s="1"/>
  <c r="H855" i="47"/>
  <c r="K854" i="47"/>
  <c r="H852" i="47"/>
  <c r="H851" i="47"/>
  <c r="H850" i="47"/>
  <c r="H849" i="47"/>
  <c r="O848" i="47"/>
  <c r="P853" i="47" s="1"/>
  <c r="H848" i="47"/>
  <c r="H845" i="47"/>
  <c r="H844" i="47"/>
  <c r="H843" i="47"/>
  <c r="H842" i="47"/>
  <c r="O841" i="47"/>
  <c r="P846" i="47" s="1"/>
  <c r="H841" i="47"/>
  <c r="O838" i="47"/>
  <c r="P839" i="47" s="1"/>
  <c r="H838" i="47"/>
  <c r="I839" i="47" s="1"/>
  <c r="K837" i="47"/>
  <c r="H835" i="47"/>
  <c r="O834" i="47"/>
  <c r="P836" i="47" s="1"/>
  <c r="H834" i="47"/>
  <c r="H831" i="47"/>
  <c r="H830" i="47"/>
  <c r="H829" i="47"/>
  <c r="H828" i="47"/>
  <c r="O827" i="47"/>
  <c r="P832" i="47" s="1"/>
  <c r="H827" i="47"/>
  <c r="K826" i="47"/>
  <c r="H824" i="47"/>
  <c r="H823" i="47"/>
  <c r="H822" i="47"/>
  <c r="H821" i="47"/>
  <c r="O820" i="47"/>
  <c r="P825" i="47" s="1"/>
  <c r="H820" i="47"/>
  <c r="H817" i="47"/>
  <c r="H816" i="47"/>
  <c r="H815" i="47"/>
  <c r="H814" i="47"/>
  <c r="O813" i="47"/>
  <c r="P818" i="47" s="1"/>
  <c r="H813" i="47"/>
  <c r="O810" i="47"/>
  <c r="P811" i="47" s="1"/>
  <c r="H810" i="47"/>
  <c r="I811" i="47" s="1"/>
  <c r="K809" i="47"/>
  <c r="H807" i="47"/>
  <c r="O806" i="47"/>
  <c r="P808" i="47" s="1"/>
  <c r="H806" i="47"/>
  <c r="H803" i="47"/>
  <c r="H802" i="47"/>
  <c r="H801" i="47"/>
  <c r="H800" i="47"/>
  <c r="O799" i="47"/>
  <c r="P804" i="47" s="1"/>
  <c r="H799" i="47"/>
  <c r="K798" i="47"/>
  <c r="H796" i="47"/>
  <c r="H795" i="47"/>
  <c r="H794" i="47"/>
  <c r="H793" i="47"/>
  <c r="O792" i="47"/>
  <c r="P797" i="47" s="1"/>
  <c r="H792" i="47"/>
  <c r="H789" i="47"/>
  <c r="H788" i="47"/>
  <c r="H787" i="47"/>
  <c r="H786" i="47"/>
  <c r="O785" i="47"/>
  <c r="P790" i="47" s="1"/>
  <c r="H785" i="47"/>
  <c r="O782" i="47"/>
  <c r="P783" i="47" s="1"/>
  <c r="H782" i="47"/>
  <c r="I783" i="47" s="1"/>
  <c r="K781" i="47"/>
  <c r="H779" i="47"/>
  <c r="O778" i="47"/>
  <c r="P780" i="47" s="1"/>
  <c r="H778" i="47"/>
  <c r="H775" i="47"/>
  <c r="H774" i="47"/>
  <c r="H773" i="47"/>
  <c r="H772" i="47"/>
  <c r="O771" i="47"/>
  <c r="P776" i="47" s="1"/>
  <c r="H771" i="47"/>
  <c r="K770" i="47"/>
  <c r="H768" i="47"/>
  <c r="H767" i="47"/>
  <c r="H766" i="47"/>
  <c r="H765" i="47"/>
  <c r="O764" i="47"/>
  <c r="P769" i="47" s="1"/>
  <c r="H764" i="47"/>
  <c r="H761" i="47"/>
  <c r="H760" i="47"/>
  <c r="H759" i="47"/>
  <c r="H758" i="47"/>
  <c r="O757" i="47"/>
  <c r="P762" i="47" s="1"/>
  <c r="H757" i="47"/>
  <c r="O754" i="47"/>
  <c r="P755" i="47" s="1"/>
  <c r="H754" i="47"/>
  <c r="I755" i="47" s="1"/>
  <c r="K753" i="47"/>
  <c r="H751" i="47"/>
  <c r="O750" i="47"/>
  <c r="P752" i="47" s="1"/>
  <c r="H750" i="47"/>
  <c r="H747" i="47"/>
  <c r="H746" i="47"/>
  <c r="H745" i="47"/>
  <c r="H744" i="47"/>
  <c r="O743" i="47"/>
  <c r="P748" i="47" s="1"/>
  <c r="H743" i="47"/>
  <c r="K742" i="47"/>
  <c r="H740" i="47"/>
  <c r="H739" i="47"/>
  <c r="H738" i="47"/>
  <c r="H737" i="47"/>
  <c r="O736" i="47"/>
  <c r="P741" i="47" s="1"/>
  <c r="H736" i="47"/>
  <c r="H733" i="47"/>
  <c r="H732" i="47"/>
  <c r="H731" i="47"/>
  <c r="H730" i="47"/>
  <c r="O729" i="47"/>
  <c r="P734" i="47" s="1"/>
  <c r="H729" i="47"/>
  <c r="O726" i="47"/>
  <c r="P727" i="47" s="1"/>
  <c r="H726" i="47"/>
  <c r="I727" i="47" s="1"/>
  <c r="K725" i="47"/>
  <c r="H723" i="47"/>
  <c r="O722" i="47"/>
  <c r="P724" i="47" s="1"/>
  <c r="H722" i="47"/>
  <c r="H719" i="47"/>
  <c r="H718" i="47"/>
  <c r="H717" i="47"/>
  <c r="H716" i="47"/>
  <c r="O715" i="47"/>
  <c r="P720" i="47" s="1"/>
  <c r="H715" i="47"/>
  <c r="K714" i="47"/>
  <c r="H712" i="47"/>
  <c r="H711" i="47"/>
  <c r="H710" i="47"/>
  <c r="H709" i="47"/>
  <c r="O708" i="47"/>
  <c r="P713" i="47" s="1"/>
  <c r="H708" i="47"/>
  <c r="H705" i="47"/>
  <c r="H704" i="47"/>
  <c r="H703" i="47"/>
  <c r="H702" i="47"/>
  <c r="O701" i="47"/>
  <c r="P706" i="47" s="1"/>
  <c r="H701" i="47"/>
  <c r="O698" i="47"/>
  <c r="P699" i="47" s="1"/>
  <c r="H698" i="47"/>
  <c r="I699" i="47" s="1"/>
  <c r="K697" i="47"/>
  <c r="H695" i="47"/>
  <c r="O694" i="47"/>
  <c r="P696" i="47" s="1"/>
  <c r="H694" i="47"/>
  <c r="H691" i="47"/>
  <c r="H690" i="47"/>
  <c r="H689" i="47"/>
  <c r="H688" i="47"/>
  <c r="O687" i="47"/>
  <c r="P692" i="47" s="1"/>
  <c r="H687" i="47"/>
  <c r="K686" i="47"/>
  <c r="H684" i="47"/>
  <c r="H683" i="47"/>
  <c r="H682" i="47"/>
  <c r="H681" i="47"/>
  <c r="O680" i="47"/>
  <c r="P685" i="47" s="1"/>
  <c r="H680" i="47"/>
  <c r="H677" i="47"/>
  <c r="H676" i="47"/>
  <c r="H675" i="47"/>
  <c r="H674" i="47"/>
  <c r="O673" i="47"/>
  <c r="P678" i="47" s="1"/>
  <c r="H673" i="47"/>
  <c r="O670" i="47"/>
  <c r="P671" i="47" s="1"/>
  <c r="H670" i="47"/>
  <c r="I671" i="47" s="1"/>
  <c r="K669" i="47"/>
  <c r="H667" i="47"/>
  <c r="I668" i="47" s="1"/>
  <c r="O666" i="47"/>
  <c r="P668" i="47" s="1"/>
  <c r="H666" i="47"/>
  <c r="H663" i="47"/>
  <c r="H662" i="47"/>
  <c r="H661" i="47"/>
  <c r="H660" i="47"/>
  <c r="O659" i="47"/>
  <c r="P664" i="47" s="1"/>
  <c r="H659" i="47"/>
  <c r="K658" i="47"/>
  <c r="H656" i="47"/>
  <c r="H655" i="47"/>
  <c r="H654" i="47"/>
  <c r="H653" i="47"/>
  <c r="O652" i="47"/>
  <c r="P657" i="47" s="1"/>
  <c r="H652" i="47"/>
  <c r="H649" i="47"/>
  <c r="H648" i="47"/>
  <c r="H647" i="47"/>
  <c r="H646" i="47"/>
  <c r="O645" i="47"/>
  <c r="P650" i="47" s="1"/>
  <c r="H645" i="47"/>
  <c r="O642" i="47"/>
  <c r="P643" i="47" s="1"/>
  <c r="H642" i="47"/>
  <c r="I643" i="47" s="1"/>
  <c r="K641" i="47"/>
  <c r="O639" i="47"/>
  <c r="P640" i="47" s="1"/>
  <c r="H639" i="47"/>
  <c r="I640" i="47" s="1"/>
  <c r="K638" i="47"/>
  <c r="H636" i="47"/>
  <c r="O635" i="47"/>
  <c r="P637" i="47" s="1"/>
  <c r="H635" i="47"/>
  <c r="I637" i="47" s="1"/>
  <c r="H632" i="47"/>
  <c r="H631" i="47"/>
  <c r="H630" i="47"/>
  <c r="H629" i="47"/>
  <c r="O628" i="47"/>
  <c r="P633" i="47" s="1"/>
  <c r="H628" i="47"/>
  <c r="K627" i="47"/>
  <c r="H625" i="47"/>
  <c r="H624" i="47"/>
  <c r="H623" i="47"/>
  <c r="H622" i="47"/>
  <c r="O621" i="47"/>
  <c r="P626" i="47" s="1"/>
  <c r="H621" i="47"/>
  <c r="H618" i="47"/>
  <c r="H617" i="47"/>
  <c r="H616" i="47"/>
  <c r="H615" i="47"/>
  <c r="O614" i="47"/>
  <c r="P619" i="47" s="1"/>
  <c r="H614" i="47"/>
  <c r="O611" i="47"/>
  <c r="P612" i="47" s="1"/>
  <c r="H611" i="47"/>
  <c r="I612" i="47" s="1"/>
  <c r="K610" i="47"/>
  <c r="H608" i="47"/>
  <c r="O607" i="47"/>
  <c r="P609" i="47" s="1"/>
  <c r="H607" i="47"/>
  <c r="H604" i="47"/>
  <c r="H603" i="47"/>
  <c r="H602" i="47"/>
  <c r="H601" i="47"/>
  <c r="O600" i="47"/>
  <c r="P605" i="47" s="1"/>
  <c r="H600" i="47"/>
  <c r="H597" i="47"/>
  <c r="H596" i="47"/>
  <c r="H595" i="47"/>
  <c r="H594" i="47"/>
  <c r="O593" i="47"/>
  <c r="P598" i="47" s="1"/>
  <c r="H593" i="47"/>
  <c r="H590" i="47"/>
  <c r="H589" i="47"/>
  <c r="H588" i="47"/>
  <c r="H587" i="47"/>
  <c r="O586" i="47"/>
  <c r="P591" i="47" s="1"/>
  <c r="H586" i="47"/>
  <c r="O583" i="47"/>
  <c r="P584" i="47" s="1"/>
  <c r="H583" i="47"/>
  <c r="I584" i="47" s="1"/>
  <c r="K582" i="47"/>
  <c r="H580" i="47"/>
  <c r="O579" i="47"/>
  <c r="P581" i="47" s="1"/>
  <c r="H579" i="47"/>
  <c r="H576" i="47"/>
  <c r="H575" i="47"/>
  <c r="H574" i="47"/>
  <c r="H573" i="47"/>
  <c r="O572" i="47"/>
  <c r="P577" i="47" s="1"/>
  <c r="H572" i="47"/>
  <c r="K571" i="47"/>
  <c r="H569" i="47"/>
  <c r="H568" i="47"/>
  <c r="H567" i="47"/>
  <c r="H566" i="47"/>
  <c r="O565" i="47"/>
  <c r="P570" i="47" s="1"/>
  <c r="H565" i="47"/>
  <c r="H562" i="47"/>
  <c r="H561" i="47"/>
  <c r="H560" i="47"/>
  <c r="H559" i="47"/>
  <c r="O558" i="47"/>
  <c r="P563" i="47" s="1"/>
  <c r="H558" i="47"/>
  <c r="O555" i="47"/>
  <c r="P556" i="47" s="1"/>
  <c r="H555" i="47"/>
  <c r="I556" i="47" s="1"/>
  <c r="K554" i="47"/>
  <c r="H552" i="47"/>
  <c r="O551" i="47"/>
  <c r="P553" i="47" s="1"/>
  <c r="H551" i="47"/>
  <c r="H548" i="47"/>
  <c r="H547" i="47"/>
  <c r="H546" i="47"/>
  <c r="H545" i="47"/>
  <c r="O544" i="47"/>
  <c r="P549" i="47" s="1"/>
  <c r="H544" i="47"/>
  <c r="K543" i="47"/>
  <c r="H541" i="47"/>
  <c r="H540" i="47"/>
  <c r="H539" i="47"/>
  <c r="H538" i="47"/>
  <c r="O537" i="47"/>
  <c r="P542" i="47" s="1"/>
  <c r="H537" i="47"/>
  <c r="H534" i="47"/>
  <c r="H533" i="47"/>
  <c r="H532" i="47"/>
  <c r="H531" i="47"/>
  <c r="O530" i="47"/>
  <c r="P535" i="47" s="1"/>
  <c r="H530" i="47"/>
  <c r="O527" i="47"/>
  <c r="P528" i="47" s="1"/>
  <c r="H527" i="47"/>
  <c r="I528" i="47" s="1"/>
  <c r="K526" i="47"/>
  <c r="H524" i="47"/>
  <c r="O523" i="47"/>
  <c r="P525" i="47" s="1"/>
  <c r="H523" i="47"/>
  <c r="H520" i="47"/>
  <c r="H519" i="47"/>
  <c r="H518" i="47"/>
  <c r="H517" i="47"/>
  <c r="O516" i="47"/>
  <c r="P521" i="47" s="1"/>
  <c r="H516" i="47"/>
  <c r="K515" i="47"/>
  <c r="H513" i="47"/>
  <c r="H512" i="47"/>
  <c r="H511" i="47"/>
  <c r="H510" i="47"/>
  <c r="O509" i="47"/>
  <c r="P514" i="47" s="1"/>
  <c r="H509" i="47"/>
  <c r="H506" i="47"/>
  <c r="H505" i="47"/>
  <c r="H504" i="47"/>
  <c r="H503" i="47"/>
  <c r="O502" i="47"/>
  <c r="P507" i="47" s="1"/>
  <c r="H502" i="47"/>
  <c r="O499" i="47"/>
  <c r="P500" i="47" s="1"/>
  <c r="J499" i="47"/>
  <c r="H499" i="47"/>
  <c r="I500" i="47" s="1"/>
  <c r="K498" i="47"/>
  <c r="J498" i="47"/>
  <c r="O496" i="47"/>
  <c r="P497" i="47" s="1"/>
  <c r="J496" i="47"/>
  <c r="H496" i="47"/>
  <c r="I497" i="47" s="1"/>
  <c r="K495" i="47"/>
  <c r="J495" i="47"/>
  <c r="O493" i="47"/>
  <c r="P494" i="47" s="1"/>
  <c r="J493" i="47"/>
  <c r="H493" i="47"/>
  <c r="I494" i="47" s="1"/>
  <c r="K492" i="47"/>
  <c r="J492" i="47"/>
  <c r="O490" i="47"/>
  <c r="P491" i="47" s="1"/>
  <c r="J490" i="47"/>
  <c r="H490" i="47"/>
  <c r="I491" i="47" s="1"/>
  <c r="K489" i="47"/>
  <c r="J489" i="47"/>
  <c r="O487" i="47"/>
  <c r="P488" i="47" s="1"/>
  <c r="J487" i="47"/>
  <c r="H487" i="47"/>
  <c r="I488" i="47" s="1"/>
  <c r="K486" i="47"/>
  <c r="J486" i="47"/>
  <c r="H484" i="47"/>
  <c r="O483" i="47"/>
  <c r="P485" i="47" s="1"/>
  <c r="H483" i="47"/>
  <c r="H480" i="47"/>
  <c r="H479" i="47"/>
  <c r="H478" i="47"/>
  <c r="H477" i="47"/>
  <c r="O476" i="47"/>
  <c r="P481" i="47" s="1"/>
  <c r="H476" i="47"/>
  <c r="K475" i="47"/>
  <c r="H473" i="47"/>
  <c r="H472" i="47"/>
  <c r="H471" i="47"/>
  <c r="H470" i="47"/>
  <c r="O469" i="47"/>
  <c r="P474" i="47" s="1"/>
  <c r="H469" i="47"/>
  <c r="H466" i="47"/>
  <c r="H465" i="47"/>
  <c r="H464" i="47"/>
  <c r="H463" i="47"/>
  <c r="O462" i="47"/>
  <c r="P467" i="47" s="1"/>
  <c r="H462" i="47"/>
  <c r="O459" i="47"/>
  <c r="P460" i="47" s="1"/>
  <c r="H459" i="47"/>
  <c r="I460" i="47" s="1"/>
  <c r="K458" i="47"/>
  <c r="H456" i="47"/>
  <c r="O455" i="47"/>
  <c r="P457" i="47" s="1"/>
  <c r="H455" i="47"/>
  <c r="H452" i="47"/>
  <c r="H451" i="47"/>
  <c r="H450" i="47"/>
  <c r="H449" i="47"/>
  <c r="O448" i="47"/>
  <c r="P453" i="47" s="1"/>
  <c r="H448" i="47"/>
  <c r="K447" i="47"/>
  <c r="H445" i="47"/>
  <c r="H444" i="47"/>
  <c r="H443" i="47"/>
  <c r="H442" i="47"/>
  <c r="O441" i="47"/>
  <c r="P446" i="47" s="1"/>
  <c r="H441" i="47"/>
  <c r="K440" i="47"/>
  <c r="H438" i="47"/>
  <c r="H437" i="47"/>
  <c r="H436" i="47"/>
  <c r="H435" i="47"/>
  <c r="O434" i="47"/>
  <c r="P439" i="47" s="1"/>
  <c r="H434" i="47"/>
  <c r="H431" i="47"/>
  <c r="I432" i="47" s="1"/>
  <c r="K430" i="47"/>
  <c r="H428" i="47"/>
  <c r="O427" i="47"/>
  <c r="P429" i="47" s="1"/>
  <c r="H427" i="47"/>
  <c r="H424" i="47"/>
  <c r="H423" i="47"/>
  <c r="H422" i="47"/>
  <c r="H421" i="47"/>
  <c r="O420" i="47"/>
  <c r="P425" i="47" s="1"/>
  <c r="H420" i="47"/>
  <c r="K419" i="47"/>
  <c r="H417" i="47"/>
  <c r="H416" i="47"/>
  <c r="H415" i="47"/>
  <c r="H414" i="47"/>
  <c r="O413" i="47"/>
  <c r="P418" i="47" s="1"/>
  <c r="H413" i="47"/>
  <c r="H410" i="47"/>
  <c r="H409" i="47"/>
  <c r="H408" i="47"/>
  <c r="H407" i="47"/>
  <c r="O406" i="47"/>
  <c r="P411" i="47" s="1"/>
  <c r="H406" i="47"/>
  <c r="O403" i="47"/>
  <c r="H403" i="47"/>
  <c r="O402" i="47"/>
  <c r="H402" i="47"/>
  <c r="O399" i="47"/>
  <c r="O398" i="47"/>
  <c r="O397" i="47"/>
  <c r="H397" i="47"/>
  <c r="I400" i="47" s="1"/>
  <c r="O394" i="47"/>
  <c r="P395" i="47" s="1"/>
  <c r="H393" i="47"/>
  <c r="H392" i="47"/>
  <c r="O389" i="47"/>
  <c r="O388" i="47"/>
  <c r="O387" i="47"/>
  <c r="H387" i="47"/>
  <c r="I390" i="47" s="1"/>
  <c r="H384" i="47"/>
  <c r="O383" i="47"/>
  <c r="P385" i="47" s="1"/>
  <c r="H383" i="47"/>
  <c r="O380" i="47"/>
  <c r="O379" i="47"/>
  <c r="O378" i="47"/>
  <c r="H378" i="47"/>
  <c r="I381" i="47" s="1"/>
  <c r="O375" i="47"/>
  <c r="H374" i="47"/>
  <c r="O373" i="47"/>
  <c r="H373" i="47"/>
  <c r="O370" i="47"/>
  <c r="O369" i="47"/>
  <c r="O368" i="47"/>
  <c r="H368" i="47"/>
  <c r="I371" i="47" s="1"/>
  <c r="H365" i="47"/>
  <c r="O364" i="47"/>
  <c r="P366" i="47" s="1"/>
  <c r="H364" i="47"/>
  <c r="O361" i="47"/>
  <c r="O360" i="47"/>
  <c r="O359" i="47"/>
  <c r="H359" i="47"/>
  <c r="I362" i="47" s="1"/>
  <c r="O356" i="47"/>
  <c r="H355" i="47"/>
  <c r="O354" i="47"/>
  <c r="H354" i="47"/>
  <c r="O351" i="47"/>
  <c r="O350" i="47"/>
  <c r="O349" i="47"/>
  <c r="H349" i="47"/>
  <c r="I352" i="47" s="1"/>
  <c r="O345" i="47"/>
  <c r="H345" i="47"/>
  <c r="O344" i="47"/>
  <c r="H344" i="47"/>
  <c r="O341" i="47"/>
  <c r="O340" i="47"/>
  <c r="O339" i="47"/>
  <c r="H339" i="47"/>
  <c r="I342" i="47" s="1"/>
  <c r="O336" i="47"/>
  <c r="H335" i="47"/>
  <c r="O334" i="47"/>
  <c r="H334" i="47"/>
  <c r="O331" i="47"/>
  <c r="O330" i="47"/>
  <c r="O329" i="47"/>
  <c r="H329" i="47"/>
  <c r="I332" i="47" s="1"/>
  <c r="O326" i="47"/>
  <c r="O325" i="47"/>
  <c r="H325" i="47"/>
  <c r="O324" i="47"/>
  <c r="H324" i="47"/>
  <c r="O321" i="47"/>
  <c r="O320" i="47"/>
  <c r="O319" i="47"/>
  <c r="H319" i="47"/>
  <c r="I322" i="47" s="1"/>
  <c r="O316" i="47"/>
  <c r="O315" i="47"/>
  <c r="H315" i="47"/>
  <c r="O314" i="47"/>
  <c r="H314" i="47"/>
  <c r="O310" i="47"/>
  <c r="O309" i="47"/>
  <c r="H309" i="47"/>
  <c r="I312" i="47" s="1"/>
  <c r="O306" i="47"/>
  <c r="H306" i="47"/>
  <c r="O305" i="47"/>
  <c r="O304" i="47"/>
  <c r="P307" i="47" s="1"/>
  <c r="H304" i="47"/>
  <c r="O301" i="47"/>
  <c r="O300" i="47"/>
  <c r="O299" i="47"/>
  <c r="H299" i="47"/>
  <c r="I302" i="47" s="1"/>
  <c r="O296" i="47"/>
  <c r="P297" i="47" s="1"/>
  <c r="H296" i="47"/>
  <c r="I297" i="47" s="1"/>
  <c r="K295" i="47"/>
  <c r="O293" i="47"/>
  <c r="O292" i="47"/>
  <c r="H292" i="47"/>
  <c r="O291" i="47"/>
  <c r="H291" i="47"/>
  <c r="O288" i="47"/>
  <c r="O287" i="47"/>
  <c r="O286" i="47"/>
  <c r="H286" i="47"/>
  <c r="I289" i="47" s="1"/>
  <c r="O283" i="47"/>
  <c r="P284" i="47" s="1"/>
  <c r="H283" i="47"/>
  <c r="I284" i="47" s="1"/>
  <c r="K282" i="47"/>
  <c r="H280" i="47"/>
  <c r="O279" i="47"/>
  <c r="P281" i="47" s="1"/>
  <c r="H279" i="47"/>
  <c r="O276" i="47"/>
  <c r="O275" i="47"/>
  <c r="O274" i="47"/>
  <c r="H274" i="47"/>
  <c r="I277" i="47" s="1"/>
  <c r="O271" i="47"/>
  <c r="O270" i="47"/>
  <c r="H270" i="47"/>
  <c r="O269" i="47"/>
  <c r="H269" i="47"/>
  <c r="O266" i="47"/>
  <c r="O265" i="47"/>
  <c r="O264" i="47"/>
  <c r="H264" i="47"/>
  <c r="I267" i="47" s="1"/>
  <c r="O261" i="47"/>
  <c r="H260" i="47"/>
  <c r="O259" i="47"/>
  <c r="H259" i="47"/>
  <c r="O256" i="47"/>
  <c r="O255" i="47"/>
  <c r="O254" i="47"/>
  <c r="H254" i="47"/>
  <c r="I257" i="47" s="1"/>
  <c r="O251" i="47"/>
  <c r="O250" i="47"/>
  <c r="H250" i="47"/>
  <c r="O249" i="47"/>
  <c r="H249" i="47"/>
  <c r="O246" i="47"/>
  <c r="O245" i="47"/>
  <c r="O244" i="47"/>
  <c r="H244" i="47"/>
  <c r="I247" i="47" s="1"/>
  <c r="H241" i="47"/>
  <c r="O240" i="47"/>
  <c r="P242" i="47" s="1"/>
  <c r="H240" i="47"/>
  <c r="O237" i="47"/>
  <c r="O236" i="47"/>
  <c r="O235" i="47"/>
  <c r="H235" i="47"/>
  <c r="I238" i="47" s="1"/>
  <c r="O232" i="47"/>
  <c r="H232" i="47"/>
  <c r="O231" i="47"/>
  <c r="P233" i="47" s="1"/>
  <c r="H231" i="47"/>
  <c r="O228" i="47"/>
  <c r="O227" i="47"/>
  <c r="O226" i="47"/>
  <c r="H226" i="47"/>
  <c r="I229" i="47" s="1"/>
  <c r="O223" i="47"/>
  <c r="O222" i="47"/>
  <c r="O221" i="47"/>
  <c r="O220" i="47"/>
  <c r="H219" i="47"/>
  <c r="O218" i="47"/>
  <c r="H218" i="47"/>
  <c r="O215" i="47"/>
  <c r="O214" i="47"/>
  <c r="O213" i="47"/>
  <c r="H213" i="47"/>
  <c r="I216" i="47" s="1"/>
  <c r="H210" i="47"/>
  <c r="O209" i="47"/>
  <c r="P211" i="47" s="1"/>
  <c r="H209" i="47"/>
  <c r="O206" i="47"/>
  <c r="O205" i="47"/>
  <c r="O204" i="47"/>
  <c r="H204" i="47"/>
  <c r="I207" i="47" s="1"/>
  <c r="O201" i="47"/>
  <c r="H200" i="47"/>
  <c r="O199" i="47"/>
  <c r="H199" i="47"/>
  <c r="O196" i="47"/>
  <c r="O195" i="47"/>
  <c r="O194" i="47"/>
  <c r="H194" i="47"/>
  <c r="I197" i="47" s="1"/>
  <c r="O191" i="47"/>
  <c r="H190" i="47"/>
  <c r="O189" i="47"/>
  <c r="H189" i="47"/>
  <c r="O186" i="47"/>
  <c r="O185" i="47"/>
  <c r="O184" i="47"/>
  <c r="H184" i="47"/>
  <c r="I187" i="47" s="1"/>
  <c r="O181" i="47"/>
  <c r="H180" i="47"/>
  <c r="O179" i="47"/>
  <c r="H179" i="47"/>
  <c r="O176" i="47"/>
  <c r="O175" i="47"/>
  <c r="O174" i="47"/>
  <c r="H174" i="47"/>
  <c r="I177" i="47" s="1"/>
  <c r="O171" i="47"/>
  <c r="H171" i="47"/>
  <c r="O170" i="47"/>
  <c r="H170" i="47"/>
  <c r="O167" i="47"/>
  <c r="O166" i="47"/>
  <c r="O165" i="47"/>
  <c r="H165" i="47"/>
  <c r="I168" i="47" s="1"/>
  <c r="O162" i="47"/>
  <c r="P163" i="47" s="1"/>
  <c r="H162" i="47"/>
  <c r="I163" i="47" s="1"/>
  <c r="K161" i="47"/>
  <c r="O159" i="47"/>
  <c r="H159" i="47"/>
  <c r="O158" i="47"/>
  <c r="H158" i="47"/>
  <c r="O155" i="47"/>
  <c r="O154" i="47"/>
  <c r="O153" i="47"/>
  <c r="H153" i="47"/>
  <c r="I156" i="47" s="1"/>
  <c r="H150" i="47"/>
  <c r="O149" i="47"/>
  <c r="P151" i="47" s="1"/>
  <c r="H149" i="47"/>
  <c r="O146" i="47"/>
  <c r="O145" i="47"/>
  <c r="O144" i="47"/>
  <c r="H144" i="47"/>
  <c r="I147" i="47" s="1"/>
  <c r="H141" i="47"/>
  <c r="O140" i="47"/>
  <c r="P142" i="47" s="1"/>
  <c r="H140" i="47"/>
  <c r="O137" i="47"/>
  <c r="O136" i="47"/>
  <c r="O135" i="47"/>
  <c r="H135" i="47"/>
  <c r="I138" i="47" s="1"/>
  <c r="O132" i="47"/>
  <c r="O131" i="47"/>
  <c r="H131" i="47"/>
  <c r="O130" i="47"/>
  <c r="H130" i="47"/>
  <c r="O127" i="47"/>
  <c r="O126" i="47"/>
  <c r="O125" i="47"/>
  <c r="H125" i="47"/>
  <c r="I128" i="47" s="1"/>
  <c r="O122" i="47"/>
  <c r="H121" i="47"/>
  <c r="O120" i="47"/>
  <c r="H120" i="47"/>
  <c r="O117" i="47"/>
  <c r="O115" i="47"/>
  <c r="H115" i="47"/>
  <c r="I118" i="47" s="1"/>
  <c r="O112" i="47"/>
  <c r="P113" i="47" s="1"/>
  <c r="H112" i="47"/>
  <c r="I113" i="47" s="1"/>
  <c r="K111" i="47"/>
  <c r="O109" i="47"/>
  <c r="O108" i="47"/>
  <c r="H108" i="47"/>
  <c r="O107" i="47"/>
  <c r="H107" i="47"/>
  <c r="O104" i="47"/>
  <c r="O103" i="47"/>
  <c r="O102" i="47"/>
  <c r="H102" i="47"/>
  <c r="I105" i="47" s="1"/>
  <c r="O99" i="47"/>
  <c r="O98" i="47"/>
  <c r="H98" i="47"/>
  <c r="O97" i="47"/>
  <c r="H97" i="47"/>
  <c r="O94" i="47"/>
  <c r="O93" i="47"/>
  <c r="O92" i="47"/>
  <c r="H92" i="47"/>
  <c r="I95" i="47" s="1"/>
  <c r="O89" i="47"/>
  <c r="H89" i="47"/>
  <c r="O88" i="47"/>
  <c r="H88" i="47"/>
  <c r="O85" i="47"/>
  <c r="O84" i="47"/>
  <c r="O83" i="47"/>
  <c r="H83" i="47"/>
  <c r="I86" i="47" s="1"/>
  <c r="H80" i="47"/>
  <c r="O79" i="47"/>
  <c r="P81" i="47" s="1"/>
  <c r="H79" i="47"/>
  <c r="O76" i="47"/>
  <c r="O75" i="47"/>
  <c r="O74" i="47"/>
  <c r="H74" i="47"/>
  <c r="I77" i="47" s="1"/>
  <c r="O71" i="47"/>
  <c r="P72" i="47" s="1"/>
  <c r="H71" i="47"/>
  <c r="I72" i="47" s="1"/>
  <c r="K70" i="47"/>
  <c r="O68" i="47"/>
  <c r="O67" i="47"/>
  <c r="H67" i="47"/>
  <c r="O66" i="47"/>
  <c r="H66" i="47"/>
  <c r="O63" i="47"/>
  <c r="O62" i="47"/>
  <c r="O61" i="47"/>
  <c r="H61" i="47"/>
  <c r="I64" i="47" s="1"/>
  <c r="O58" i="47"/>
  <c r="O57" i="47"/>
  <c r="H57" i="47"/>
  <c r="O56" i="47"/>
  <c r="H56" i="47"/>
  <c r="O53" i="47"/>
  <c r="O52" i="47"/>
  <c r="O51" i="47"/>
  <c r="H51" i="47"/>
  <c r="I54" i="47" s="1"/>
  <c r="O48" i="47"/>
  <c r="P49" i="47" s="1"/>
  <c r="H48" i="47"/>
  <c r="I49" i="47" s="1"/>
  <c r="K47" i="47"/>
  <c r="O45" i="47"/>
  <c r="H44" i="47"/>
  <c r="O43" i="47"/>
  <c r="H43" i="47"/>
  <c r="O40" i="47"/>
  <c r="O39" i="47"/>
  <c r="O38" i="47"/>
  <c r="H38" i="47"/>
  <c r="I41" i="47" s="1"/>
  <c r="O35" i="47"/>
  <c r="P36" i="47" s="1"/>
  <c r="H35" i="47"/>
  <c r="I36" i="47" s="1"/>
  <c r="K34" i="47"/>
  <c r="O32" i="47"/>
  <c r="H32" i="47"/>
  <c r="O31" i="47"/>
  <c r="H31" i="47"/>
  <c r="O28" i="47"/>
  <c r="O27" i="47"/>
  <c r="O26" i="47"/>
  <c r="H26" i="47"/>
  <c r="I29" i="47" s="1"/>
  <c r="O23" i="47"/>
  <c r="P24" i="47" s="1"/>
  <c r="H23" i="47"/>
  <c r="I24" i="47" s="1"/>
  <c r="K22" i="47"/>
  <c r="O20" i="47"/>
  <c r="O19" i="47"/>
  <c r="H19" i="47"/>
  <c r="O18" i="47"/>
  <c r="H18" i="47"/>
  <c r="O15" i="47"/>
  <c r="O14" i="47"/>
  <c r="O13" i="47"/>
  <c r="H13" i="47"/>
  <c r="I16" i="47" s="1"/>
  <c r="P133" i="47" l="1"/>
  <c r="P362" i="47"/>
  <c r="Q362" i="47" s="1"/>
  <c r="I457" i="47"/>
  <c r="Q457" i="47" s="1"/>
  <c r="P128" i="47"/>
  <c r="Q128" i="47" s="1"/>
  <c r="I160" i="47"/>
  <c r="P337" i="47"/>
  <c r="I1155" i="47"/>
  <c r="Q1155" i="47" s="1"/>
  <c r="I1340" i="47"/>
  <c r="I90" i="47"/>
  <c r="I553" i="47"/>
  <c r="Q553" i="47" s="1"/>
  <c r="P90" i="47"/>
  <c r="P105" i="47"/>
  <c r="Q105" i="47" s="1"/>
  <c r="P123" i="47"/>
  <c r="Q1410" i="47"/>
  <c r="Q284" i="47"/>
  <c r="I570" i="47"/>
  <c r="I123" i="47"/>
  <c r="P294" i="47"/>
  <c r="Q891" i="47"/>
  <c r="P952" i="47"/>
  <c r="Q952" i="47" s="1"/>
  <c r="Q49" i="47"/>
  <c r="I1109" i="47"/>
  <c r="Q1109" i="47" s="1"/>
  <c r="P197" i="47"/>
  <c r="Q556" i="47"/>
  <c r="P29" i="47"/>
  <c r="Q29" i="47" s="1"/>
  <c r="I69" i="47"/>
  <c r="I366" i="47"/>
  <c r="Q366" i="47" s="1"/>
  <c r="P376" i="47"/>
  <c r="I944" i="47"/>
  <c r="P1538" i="47"/>
  <c r="I21" i="47"/>
  <c r="I59" i="47"/>
  <c r="P110" i="47"/>
  <c r="P202" i="47"/>
  <c r="P262" i="47"/>
  <c r="I281" i="47"/>
  <c r="Q281" i="47" s="1"/>
  <c r="I376" i="47"/>
  <c r="I385" i="47"/>
  <c r="Q385" i="47" s="1"/>
  <c r="I609" i="47"/>
  <c r="Q609" i="47" s="1"/>
  <c r="I696" i="47"/>
  <c r="Q696" i="47" s="1"/>
  <c r="I1389" i="47"/>
  <c r="Q1389" i="47" s="1"/>
  <c r="I151" i="47"/>
  <c r="Q151" i="47" s="1"/>
  <c r="I192" i="47"/>
  <c r="I202" i="47"/>
  <c r="Q528" i="47"/>
  <c r="I1323" i="47"/>
  <c r="Q1323" i="47" s="1"/>
  <c r="P1442" i="47"/>
  <c r="Q1442" i="47" s="1"/>
  <c r="Q1012" i="47"/>
  <c r="P317" i="47"/>
  <c r="I1291" i="47"/>
  <c r="Q1291" i="47" s="1"/>
  <c r="I1469" i="47"/>
  <c r="P100" i="47"/>
  <c r="P172" i="47"/>
  <c r="P192" i="47"/>
  <c r="I598" i="47"/>
  <c r="Q598" i="47" s="1"/>
  <c r="Q1099" i="47"/>
  <c r="P1469" i="47"/>
  <c r="P118" i="47"/>
  <c r="Q118" i="47" s="1"/>
  <c r="I357" i="47"/>
  <c r="I1054" i="47"/>
  <c r="Q1054" i="47" s="1"/>
  <c r="I1347" i="47"/>
  <c r="Q1347" i="47" s="1"/>
  <c r="I262" i="47"/>
  <c r="I741" i="47"/>
  <c r="Q741" i="47" s="1"/>
  <c r="I81" i="47"/>
  <c r="P95" i="47"/>
  <c r="Q95" i="47" s="1"/>
  <c r="I233" i="47"/>
  <c r="Q233" i="47" s="1"/>
  <c r="P312" i="47"/>
  <c r="Q312" i="47" s="1"/>
  <c r="I808" i="47"/>
  <c r="Q808" i="47" s="1"/>
  <c r="Q919" i="47"/>
  <c r="I1009" i="47"/>
  <c r="Q1009" i="47" s="1"/>
  <c r="I1026" i="47"/>
  <c r="Q1026" i="47" s="1"/>
  <c r="I1081" i="47"/>
  <c r="I1165" i="47"/>
  <c r="Q1165" i="47" s="1"/>
  <c r="I1361" i="47"/>
  <c r="Q1361" i="47" s="1"/>
  <c r="P46" i="47"/>
  <c r="P69" i="47"/>
  <c r="P138" i="47"/>
  <c r="Q138" i="47" s="1"/>
  <c r="I224" i="47"/>
  <c r="P238" i="47"/>
  <c r="Q238" i="47" s="1"/>
  <c r="P247" i="47"/>
  <c r="Q247" i="47" s="1"/>
  <c r="P302" i="47"/>
  <c r="Q302" i="47" s="1"/>
  <c r="I525" i="47"/>
  <c r="Q525" i="47" s="1"/>
  <c r="I542" i="47"/>
  <c r="Q542" i="47" s="1"/>
  <c r="I956" i="47"/>
  <c r="Q956" i="47" s="1"/>
  <c r="I1065" i="47"/>
  <c r="Q1065" i="47" s="1"/>
  <c r="I1284" i="47"/>
  <c r="Q1284" i="47" s="1"/>
  <c r="I1368" i="47"/>
  <c r="Q1368" i="47" s="1"/>
  <c r="I1407" i="47"/>
  <c r="Q1407" i="47" s="1"/>
  <c r="I1417" i="47"/>
  <c r="Q1417" i="47" s="1"/>
  <c r="I1424" i="47"/>
  <c r="Q1424" i="47" s="1"/>
  <c r="P1459" i="47"/>
  <c r="Q1459" i="47" s="1"/>
  <c r="Q1486" i="47"/>
  <c r="Q981" i="47"/>
  <c r="Q197" i="47"/>
  <c r="I46" i="47"/>
  <c r="I110" i="47"/>
  <c r="I294" i="47"/>
  <c r="I481" i="47"/>
  <c r="Q481" i="47" s="1"/>
  <c r="P1494" i="47"/>
  <c r="Q1494" i="47" s="1"/>
  <c r="I327" i="47"/>
  <c r="P400" i="47"/>
  <c r="Q400" i="47" s="1"/>
  <c r="I1351" i="47"/>
  <c r="Q1351" i="47" s="1"/>
  <c r="P1483" i="47"/>
  <c r="Q163" i="47"/>
  <c r="P277" i="47"/>
  <c r="Q277" i="47" s="1"/>
  <c r="I467" i="47"/>
  <c r="Q467" i="47" s="1"/>
  <c r="Q637" i="47"/>
  <c r="Q668" i="47"/>
  <c r="I905" i="47"/>
  <c r="Q905" i="47" s="1"/>
  <c r="I1005" i="47"/>
  <c r="Q1005" i="47" s="1"/>
  <c r="I1116" i="47"/>
  <c r="Q1116" i="47" s="1"/>
  <c r="I1123" i="47"/>
  <c r="Q1123" i="47" s="1"/>
  <c r="Q1081" i="47"/>
  <c r="P327" i="47"/>
  <c r="Q1071" i="47"/>
  <c r="I1137" i="47"/>
  <c r="Q1137" i="47" s="1"/>
  <c r="I790" i="47"/>
  <c r="Q790" i="47" s="1"/>
  <c r="P33" i="47"/>
  <c r="I100" i="47"/>
  <c r="I133" i="47"/>
  <c r="P160" i="47"/>
  <c r="Q160" i="47" s="1"/>
  <c r="P207" i="47"/>
  <c r="Q207" i="47" s="1"/>
  <c r="P252" i="47"/>
  <c r="I317" i="47"/>
  <c r="P322" i="47"/>
  <c r="Q322" i="47" s="1"/>
  <c r="I411" i="47"/>
  <c r="Q411" i="47" s="1"/>
  <c r="I650" i="47"/>
  <c r="Q650" i="47" s="1"/>
  <c r="I825" i="47"/>
  <c r="Q825" i="47" s="1"/>
  <c r="I864" i="47"/>
  <c r="Q864" i="47" s="1"/>
  <c r="I926" i="47"/>
  <c r="Q926" i="47" s="1"/>
  <c r="I991" i="47"/>
  <c r="Q991" i="47" s="1"/>
  <c r="Q1074" i="47"/>
  <c r="Q1354" i="47"/>
  <c r="Q1452" i="47"/>
  <c r="P1517" i="47"/>
  <c r="P54" i="47"/>
  <c r="Q54" i="47" s="1"/>
  <c r="P86" i="47"/>
  <c r="Q86" i="47" s="1"/>
  <c r="I605" i="47"/>
  <c r="Q605" i="47" s="1"/>
  <c r="I916" i="47"/>
  <c r="Q916" i="47" s="1"/>
  <c r="I1037" i="47"/>
  <c r="Q1037" i="47" s="1"/>
  <c r="P390" i="47"/>
  <c r="Q390" i="47" s="1"/>
  <c r="I1305" i="47"/>
  <c r="Q1305" i="47" s="1"/>
  <c r="I33" i="47"/>
  <c r="P59" i="47"/>
  <c r="P216" i="47"/>
  <c r="Q216" i="47" s="1"/>
  <c r="P332" i="47"/>
  <c r="Q332" i="47" s="1"/>
  <c r="Q432" i="47"/>
  <c r="I453" i="47"/>
  <c r="Q453" i="47" s="1"/>
  <c r="I514" i="47"/>
  <c r="Q514" i="47" s="1"/>
  <c r="I581" i="47"/>
  <c r="Q581" i="47" s="1"/>
  <c r="I633" i="47"/>
  <c r="Q633" i="47" s="1"/>
  <c r="I832" i="47"/>
  <c r="Q832" i="47" s="1"/>
  <c r="I874" i="47"/>
  <c r="Q874" i="47" s="1"/>
  <c r="I898" i="47"/>
  <c r="Q898" i="47" s="1"/>
  <c r="I1183" i="47"/>
  <c r="Q1183" i="47" s="1"/>
  <c r="I1193" i="47"/>
  <c r="Q1193" i="47" s="1"/>
  <c r="Q1214" i="47"/>
  <c r="I1235" i="47"/>
  <c r="Q1235" i="47" s="1"/>
  <c r="I1379" i="47"/>
  <c r="Q1379" i="47" s="1"/>
  <c r="P1546" i="47"/>
  <c r="Q1546" i="47" s="1"/>
  <c r="I507" i="47"/>
  <c r="Q507" i="47" s="1"/>
  <c r="I1483" i="47"/>
  <c r="P64" i="47"/>
  <c r="Q64" i="47" s="1"/>
  <c r="I242" i="47"/>
  <c r="Q242" i="47" s="1"/>
  <c r="I404" i="47"/>
  <c r="I521" i="47"/>
  <c r="Q521" i="47" s="1"/>
  <c r="I692" i="47"/>
  <c r="Q692" i="47" s="1"/>
  <c r="I933" i="47"/>
  <c r="Q933" i="47" s="1"/>
  <c r="I977" i="47"/>
  <c r="Q977" i="47" s="1"/>
  <c r="I998" i="47"/>
  <c r="Q998" i="47" s="1"/>
  <c r="I1319" i="47"/>
  <c r="Q1319" i="47" s="1"/>
  <c r="I1333" i="47"/>
  <c r="Q1333" i="47" s="1"/>
  <c r="Q1040" i="47"/>
  <c r="Q1158" i="47"/>
  <c r="Q584" i="47"/>
  <c r="Q947" i="47"/>
  <c r="Q1340" i="47"/>
  <c r="I211" i="47"/>
  <c r="Q211" i="47" s="1"/>
  <c r="Q460" i="47"/>
  <c r="I657" i="47"/>
  <c r="Q657" i="47" s="1"/>
  <c r="I706" i="47"/>
  <c r="Q706" i="47" s="1"/>
  <c r="Q727" i="47"/>
  <c r="I836" i="47"/>
  <c r="Q836" i="47" s="1"/>
  <c r="I881" i="47"/>
  <c r="Q881" i="47" s="1"/>
  <c r="I912" i="47"/>
  <c r="Q912" i="47" s="1"/>
  <c r="I940" i="47"/>
  <c r="Q940" i="47" s="1"/>
  <c r="I963" i="47"/>
  <c r="Q963" i="47" s="1"/>
  <c r="I1127" i="47"/>
  <c r="Q1127" i="47" s="1"/>
  <c r="I1207" i="47"/>
  <c r="Q1207" i="47" s="1"/>
  <c r="I1239" i="47"/>
  <c r="Q1239" i="47" s="1"/>
  <c r="I1249" i="47"/>
  <c r="Q1249" i="47" s="1"/>
  <c r="Q1270" i="47"/>
  <c r="I1295" i="47"/>
  <c r="Q1295" i="47" s="1"/>
  <c r="I1449" i="47"/>
  <c r="Q1462" i="47"/>
  <c r="I1517" i="47"/>
  <c r="Q1531" i="47"/>
  <c r="I142" i="47"/>
  <c r="Q142" i="47" s="1"/>
  <c r="P182" i="47"/>
  <c r="P229" i="47"/>
  <c r="Q229" i="47" s="1"/>
  <c r="I252" i="47"/>
  <c r="P257" i="47"/>
  <c r="Q257" i="47" s="1"/>
  <c r="P289" i="47"/>
  <c r="Q289" i="47" s="1"/>
  <c r="Q297" i="47"/>
  <c r="I347" i="47"/>
  <c r="P381" i="47"/>
  <c r="Q381" i="47" s="1"/>
  <c r="I395" i="47"/>
  <c r="Q395" i="47" s="1"/>
  <c r="P404" i="47"/>
  <c r="I425" i="47"/>
  <c r="Q425" i="47" s="1"/>
  <c r="I485" i="47"/>
  <c r="Q485" i="47" s="1"/>
  <c r="Q497" i="47"/>
  <c r="I591" i="47"/>
  <c r="Q591" i="47" s="1"/>
  <c r="I619" i="47"/>
  <c r="Q619" i="47" s="1"/>
  <c r="Q643" i="47"/>
  <c r="I664" i="47"/>
  <c r="Q664" i="47" s="1"/>
  <c r="I752" i="47"/>
  <c r="Q752" i="47" s="1"/>
  <c r="I797" i="47"/>
  <c r="Q797" i="47" s="1"/>
  <c r="I846" i="47"/>
  <c r="Q846" i="47" s="1"/>
  <c r="Q867" i="47"/>
  <c r="I888" i="47"/>
  <c r="Q888" i="47" s="1"/>
  <c r="I1144" i="47"/>
  <c r="Q1144" i="47" s="1"/>
  <c r="I1151" i="47"/>
  <c r="Q1151" i="47" s="1"/>
  <c r="I1221" i="47"/>
  <c r="Q1221" i="47" s="1"/>
  <c r="I1312" i="47"/>
  <c r="Q1312" i="47" s="1"/>
  <c r="I1431" i="47"/>
  <c r="Q1431" i="47" s="1"/>
  <c r="P1501" i="47"/>
  <c r="P1523" i="47"/>
  <c r="Q1523" i="47" s="1"/>
  <c r="Q36" i="47"/>
  <c r="Q671" i="47"/>
  <c r="Q1504" i="47"/>
  <c r="Q1527" i="47"/>
  <c r="P16" i="47"/>
  <c r="Q16" i="47" s="1"/>
  <c r="P347" i="47"/>
  <c r="I418" i="47"/>
  <c r="Q418" i="47" s="1"/>
  <c r="P41" i="47"/>
  <c r="Q41" i="47" s="1"/>
  <c r="I172" i="47"/>
  <c r="I337" i="47"/>
  <c r="I762" i="47"/>
  <c r="Q762" i="47" s="1"/>
  <c r="I970" i="47"/>
  <c r="Q970" i="47" s="1"/>
  <c r="Q1068" i="47"/>
  <c r="I1375" i="47"/>
  <c r="Q1375" i="47" s="1"/>
  <c r="I1501" i="47"/>
  <c r="Q81" i="47"/>
  <c r="P147" i="47"/>
  <c r="Q147" i="47" s="1"/>
  <c r="P187" i="47"/>
  <c r="Q187" i="47" s="1"/>
  <c r="P224" i="47"/>
  <c r="Q488" i="47"/>
  <c r="Q500" i="47"/>
  <c r="I563" i="47"/>
  <c r="Q563" i="47" s="1"/>
  <c r="I577" i="47"/>
  <c r="Q577" i="47" s="1"/>
  <c r="I626" i="47"/>
  <c r="Q626" i="47" s="1"/>
  <c r="I678" i="47"/>
  <c r="Q678" i="47" s="1"/>
  <c r="Q699" i="47"/>
  <c r="I720" i="47"/>
  <c r="Q720" i="47" s="1"/>
  <c r="I853" i="47"/>
  <c r="Q853" i="47" s="1"/>
  <c r="Q984" i="47"/>
  <c r="I1047" i="47"/>
  <c r="Q1047" i="47" s="1"/>
  <c r="I1061" i="47"/>
  <c r="Q1061" i="47" s="1"/>
  <c r="I1088" i="47"/>
  <c r="Q1088" i="47" s="1"/>
  <c r="I1095" i="47"/>
  <c r="Q1095" i="47" s="1"/>
  <c r="I1263" i="47"/>
  <c r="Q1263" i="47" s="1"/>
  <c r="Q1298" i="47"/>
  <c r="Q1326" i="47"/>
  <c r="I1435" i="47"/>
  <c r="Q1435" i="47" s="1"/>
  <c r="P1510" i="47"/>
  <c r="Q1510" i="47" s="1"/>
  <c r="Q1382" i="47"/>
  <c r="Q811" i="47"/>
  <c r="Q1102" i="47"/>
  <c r="P371" i="47"/>
  <c r="Q371" i="47" s="1"/>
  <c r="I474" i="47"/>
  <c r="Q474" i="47" s="1"/>
  <c r="I748" i="47"/>
  <c r="Q748" i="47" s="1"/>
  <c r="I182" i="47"/>
  <c r="P267" i="47"/>
  <c r="Q267" i="47" s="1"/>
  <c r="I429" i="47"/>
  <c r="Q429" i="47" s="1"/>
  <c r="I804" i="47"/>
  <c r="Q804" i="47" s="1"/>
  <c r="I1211" i="47"/>
  <c r="Q1211" i="47" s="1"/>
  <c r="P21" i="47"/>
  <c r="P77" i="47"/>
  <c r="Q77" i="47" s="1"/>
  <c r="P168" i="47"/>
  <c r="Q168" i="47" s="1"/>
  <c r="P272" i="47"/>
  <c r="P342" i="47"/>
  <c r="Q342" i="47" s="1"/>
  <c r="P352" i="47"/>
  <c r="Q352" i="47" s="1"/>
  <c r="I439" i="47"/>
  <c r="Q439" i="47" s="1"/>
  <c r="Q612" i="47"/>
  <c r="I724" i="47"/>
  <c r="Q724" i="47" s="1"/>
  <c r="I769" i="47"/>
  <c r="Q769" i="47" s="1"/>
  <c r="I780" i="47"/>
  <c r="Q780" i="47" s="1"/>
  <c r="I818" i="47"/>
  <c r="Q818" i="47" s="1"/>
  <c r="Q839" i="47"/>
  <c r="I860" i="47"/>
  <c r="Q860" i="47" s="1"/>
  <c r="I1172" i="47"/>
  <c r="Q1172" i="47" s="1"/>
  <c r="I1179" i="47"/>
  <c r="Q1179" i="47" s="1"/>
  <c r="Q1242" i="47"/>
  <c r="I1267" i="47"/>
  <c r="Q1267" i="47" s="1"/>
  <c r="I1538" i="47"/>
  <c r="Q570" i="47"/>
  <c r="Q113" i="47"/>
  <c r="Q494" i="47"/>
  <c r="P357" i="47"/>
  <c r="Q72" i="47"/>
  <c r="I307" i="47"/>
  <c r="Q307" i="47" s="1"/>
  <c r="I713" i="47"/>
  <c r="Q713" i="47" s="1"/>
  <c r="Q783" i="47"/>
  <c r="Q1130" i="47"/>
  <c r="I1256" i="47"/>
  <c r="Q1256" i="47" s="1"/>
  <c r="P1449" i="47"/>
  <c r="P156" i="47"/>
  <c r="Q156" i="47" s="1"/>
  <c r="P177" i="47"/>
  <c r="Q177" i="47" s="1"/>
  <c r="I272" i="47"/>
  <c r="I446" i="47"/>
  <c r="Q446" i="47" s="1"/>
  <c r="Q491" i="47"/>
  <c r="I535" i="47"/>
  <c r="Q535" i="47" s="1"/>
  <c r="I549" i="47"/>
  <c r="Q549" i="47" s="1"/>
  <c r="Q640" i="47"/>
  <c r="I685" i="47"/>
  <c r="Q685" i="47" s="1"/>
  <c r="I734" i="47"/>
  <c r="Q734" i="47" s="1"/>
  <c r="Q755" i="47"/>
  <c r="I776" i="47"/>
  <c r="Q776" i="47" s="1"/>
  <c r="I1019" i="47"/>
  <c r="Q1019" i="47" s="1"/>
  <c r="I1033" i="47"/>
  <c r="Q1033" i="47" s="1"/>
  <c r="I1200" i="47"/>
  <c r="Q1200" i="47" s="1"/>
  <c r="I1228" i="47"/>
  <c r="Q1228" i="47" s="1"/>
  <c r="I1277" i="47"/>
  <c r="Q1277" i="47" s="1"/>
  <c r="I1396" i="47"/>
  <c r="Q1396" i="47" s="1"/>
  <c r="I1403" i="47"/>
  <c r="Q1403" i="47" s="1"/>
  <c r="P1476" i="47"/>
  <c r="Q1476" i="47" s="1"/>
  <c r="Q24" i="47"/>
  <c r="Q1186" i="47"/>
  <c r="Q1438" i="47"/>
  <c r="Q944" i="47"/>
  <c r="Q1538" i="47" l="1"/>
  <c r="Q357" i="47"/>
  <c r="Q317" i="47"/>
  <c r="Q262" i="47"/>
  <c r="Q192" i="47"/>
  <c r="Q46" i="47"/>
  <c r="Q224" i="47"/>
  <c r="Q337" i="47"/>
  <c r="Q100" i="47"/>
  <c r="Q133" i="47"/>
  <c r="Q202" i="47"/>
  <c r="Q21" i="47"/>
  <c r="Q404" i="47"/>
  <c r="Q110" i="47"/>
  <c r="Q123" i="47"/>
  <c r="Q90" i="47"/>
  <c r="Q294" i="47"/>
  <c r="Q33" i="47"/>
  <c r="Q59" i="47"/>
  <c r="Q1483" i="47"/>
  <c r="Q1449" i="47"/>
  <c r="Q1517" i="47"/>
  <c r="Q69" i="47"/>
  <c r="Q327" i="47"/>
  <c r="Q1469" i="47"/>
  <c r="Q172" i="47"/>
  <c r="Q252" i="47"/>
  <c r="Q272" i="47"/>
  <c r="Q182" i="47"/>
  <c r="Q1501" i="47"/>
  <c r="Q347" i="47"/>
  <c r="M36" i="46"/>
  <c r="N39" i="46" s="1"/>
  <c r="M31" i="46"/>
  <c r="M27" i="46"/>
  <c r="N29" i="46" s="1"/>
  <c r="M22" i="46"/>
  <c r="N25" i="46" s="1"/>
  <c r="M18" i="46"/>
  <c r="M13" i="46"/>
  <c r="N16" i="46" s="1"/>
  <c r="F38" i="46"/>
  <c r="F37" i="46"/>
  <c r="F36" i="46"/>
  <c r="F33" i="46"/>
  <c r="F32" i="46"/>
  <c r="F31" i="46"/>
  <c r="F28" i="46"/>
  <c r="F27" i="46"/>
  <c r="F24" i="46"/>
  <c r="F23" i="46"/>
  <c r="F22" i="46"/>
  <c r="F19" i="46"/>
  <c r="F18" i="46"/>
  <c r="F15" i="46"/>
  <c r="F14" i="46"/>
  <c r="F13" i="46"/>
  <c r="G39" i="46"/>
  <c r="H36" i="46"/>
  <c r="I35" i="46"/>
  <c r="H35" i="46"/>
  <c r="N34" i="46"/>
  <c r="H31" i="46"/>
  <c r="I30" i="46"/>
  <c r="H30" i="46"/>
  <c r="I26" i="46"/>
  <c r="H26" i="46"/>
  <c r="I21" i="46"/>
  <c r="H21" i="46"/>
  <c r="N20" i="46"/>
  <c r="H18" i="46"/>
  <c r="I17" i="46"/>
  <c r="H17" i="46"/>
  <c r="I12" i="46"/>
  <c r="H12" i="46"/>
  <c r="O39" i="46" l="1"/>
  <c r="G20" i="46"/>
  <c r="G25" i="46"/>
  <c r="O25" i="46" s="1"/>
  <c r="G29" i="46"/>
  <c r="G34" i="46"/>
  <c r="O20" i="46"/>
  <c r="O34" i="46"/>
  <c r="G16" i="46"/>
  <c r="O16" i="46" s="1"/>
  <c r="O29" i="46"/>
  <c r="F24" i="45"/>
  <c r="F23" i="45"/>
  <c r="M22" i="45"/>
  <c r="N25" i="45" s="1"/>
  <c r="F22" i="45"/>
  <c r="I21" i="45"/>
  <c r="H21" i="45"/>
  <c r="M19" i="45"/>
  <c r="M18" i="45"/>
  <c r="M17" i="45"/>
  <c r="M16" i="45"/>
  <c r="F16" i="45"/>
  <c r="M15" i="45"/>
  <c r="F15" i="45"/>
  <c r="M14" i="45"/>
  <c r="F14" i="45"/>
  <c r="M13" i="45"/>
  <c r="F13" i="45"/>
  <c r="G20" i="45" s="1"/>
  <c r="I12" i="45"/>
  <c r="N20" i="45" l="1"/>
  <c r="O20" i="45" s="1"/>
  <c r="G25" i="45"/>
  <c r="O25" i="45" s="1"/>
  <c r="F13" i="43"/>
  <c r="G20" i="43"/>
  <c r="M17" i="43"/>
  <c r="N20" i="43" s="1"/>
  <c r="I16" i="43"/>
  <c r="G15" i="43"/>
  <c r="M13" i="43"/>
  <c r="N15" i="43" s="1"/>
  <c r="I12" i="43"/>
  <c r="H12" i="43"/>
  <c r="O20" i="43" l="1"/>
  <c r="O15" i="43"/>
  <c r="G19" i="41" l="1"/>
  <c r="M18" i="41"/>
  <c r="N19" i="41" s="1"/>
  <c r="H18" i="41"/>
  <c r="H17" i="41"/>
  <c r="G16" i="41"/>
  <c r="M15" i="41"/>
  <c r="N16" i="41" s="1"/>
  <c r="H15" i="41"/>
  <c r="I14" i="41"/>
  <c r="H14" i="41"/>
  <c r="M12" i="41"/>
  <c r="N13" i="41" s="1"/>
  <c r="F12" i="41"/>
  <c r="G13" i="41" s="1"/>
  <c r="I11" i="41"/>
  <c r="O16" i="41" l="1"/>
  <c r="O19" i="41"/>
  <c r="O13" i="41"/>
  <c r="H293" i="39" l="1"/>
  <c r="I294" i="39" s="1"/>
  <c r="O291" i="39"/>
  <c r="P294" i="39" s="1"/>
  <c r="J291" i="39"/>
  <c r="K290" i="39"/>
  <c r="J290" i="39"/>
  <c r="I289" i="39"/>
  <c r="O287" i="39"/>
  <c r="P289" i="39" s="1"/>
  <c r="J287" i="39"/>
  <c r="K286" i="39"/>
  <c r="J286" i="39"/>
  <c r="I285" i="39"/>
  <c r="O283" i="39"/>
  <c r="P285" i="39" s="1"/>
  <c r="J283" i="39"/>
  <c r="K282" i="39"/>
  <c r="J282" i="39"/>
  <c r="I281" i="39"/>
  <c r="O279" i="39"/>
  <c r="P281" i="39" s="1"/>
  <c r="J279" i="39"/>
  <c r="K278" i="39"/>
  <c r="J278" i="39"/>
  <c r="I277" i="39"/>
  <c r="O275" i="39"/>
  <c r="P277" i="39" s="1"/>
  <c r="J275" i="39"/>
  <c r="K274" i="39"/>
  <c r="J274" i="39"/>
  <c r="I273" i="39"/>
  <c r="O271" i="39"/>
  <c r="P273" i="39" s="1"/>
  <c r="J271" i="39"/>
  <c r="K270" i="39"/>
  <c r="J270" i="39"/>
  <c r="H268" i="39"/>
  <c r="I269" i="39" s="1"/>
  <c r="O266" i="39"/>
  <c r="P269" i="39" s="1"/>
  <c r="J266" i="39"/>
  <c r="K265" i="39"/>
  <c r="J265" i="39"/>
  <c r="I264" i="39"/>
  <c r="O262" i="39"/>
  <c r="P264" i="39" s="1"/>
  <c r="J262" i="39"/>
  <c r="K261" i="39"/>
  <c r="J261" i="39"/>
  <c r="I260" i="39"/>
  <c r="J259" i="39"/>
  <c r="O258" i="39"/>
  <c r="P260" i="39" s="1"/>
  <c r="J258" i="39"/>
  <c r="K257" i="39"/>
  <c r="J257" i="39"/>
  <c r="I256" i="39"/>
  <c r="O254" i="39"/>
  <c r="P256" i="39" s="1"/>
  <c r="J254" i="39"/>
  <c r="K253" i="39"/>
  <c r="J253" i="39"/>
  <c r="I252" i="39"/>
  <c r="O250" i="39"/>
  <c r="P252" i="39" s="1"/>
  <c r="J250" i="39"/>
  <c r="K249" i="39"/>
  <c r="J249" i="39"/>
  <c r="I248" i="39"/>
  <c r="O246" i="39"/>
  <c r="P248" i="39" s="1"/>
  <c r="J246" i="39"/>
  <c r="K245" i="39"/>
  <c r="J245" i="39"/>
  <c r="I244" i="39"/>
  <c r="O242" i="39"/>
  <c r="P244" i="39" s="1"/>
  <c r="J242" i="39"/>
  <c r="K241" i="39"/>
  <c r="J241" i="39"/>
  <c r="I240" i="39"/>
  <c r="O238" i="39"/>
  <c r="P240" i="39" s="1"/>
  <c r="J238" i="39"/>
  <c r="K237" i="39"/>
  <c r="J237" i="39"/>
  <c r="I236" i="39"/>
  <c r="O234" i="39"/>
  <c r="P236" i="39" s="1"/>
  <c r="K233" i="39"/>
  <c r="I232" i="39"/>
  <c r="O230" i="39"/>
  <c r="P232" i="39" s="1"/>
  <c r="J230" i="39"/>
  <c r="K229" i="39"/>
  <c r="H227" i="39"/>
  <c r="I228" i="39" s="1"/>
  <c r="O225" i="39"/>
  <c r="P228" i="39" s="1"/>
  <c r="J225" i="39"/>
  <c r="K224" i="39"/>
  <c r="J224" i="39"/>
  <c r="I223" i="39"/>
  <c r="O221" i="39"/>
  <c r="P223" i="39" s="1"/>
  <c r="J221" i="39"/>
  <c r="K220" i="39"/>
  <c r="J220" i="39"/>
  <c r="I219" i="39"/>
  <c r="O217" i="39"/>
  <c r="P219" i="39" s="1"/>
  <c r="J217" i="39"/>
  <c r="K216" i="39"/>
  <c r="J216" i="39"/>
  <c r="I215" i="39"/>
  <c r="O213" i="39"/>
  <c r="P215" i="39" s="1"/>
  <c r="J213" i="39"/>
  <c r="K212" i="39"/>
  <c r="J212" i="39"/>
  <c r="I211" i="39"/>
  <c r="O209" i="39"/>
  <c r="P211" i="39" s="1"/>
  <c r="J209" i="39"/>
  <c r="K208" i="39"/>
  <c r="J208" i="39"/>
  <c r="I207" i="39"/>
  <c r="O205" i="39"/>
  <c r="P207" i="39" s="1"/>
  <c r="J205" i="39"/>
  <c r="K204" i="39"/>
  <c r="J204" i="39"/>
  <c r="I203" i="39"/>
  <c r="O201" i="39"/>
  <c r="P203" i="39" s="1"/>
  <c r="K200" i="39"/>
  <c r="I199" i="39"/>
  <c r="O197" i="39"/>
  <c r="P199" i="39" s="1"/>
  <c r="K196" i="39"/>
  <c r="H194" i="39"/>
  <c r="I195" i="39" s="1"/>
  <c r="O192" i="39"/>
  <c r="P195" i="39" s="1"/>
  <c r="J192" i="39"/>
  <c r="K191" i="39"/>
  <c r="J191" i="39"/>
  <c r="I190" i="39"/>
  <c r="O188" i="39"/>
  <c r="P190" i="39" s="1"/>
  <c r="J188" i="39"/>
  <c r="K187" i="39"/>
  <c r="J187" i="39"/>
  <c r="I186" i="39"/>
  <c r="O184" i="39"/>
  <c r="P186" i="39" s="1"/>
  <c r="J184" i="39"/>
  <c r="K183" i="39"/>
  <c r="J183" i="39"/>
  <c r="I182" i="39"/>
  <c r="O180" i="39"/>
  <c r="P182" i="39" s="1"/>
  <c r="J180" i="39"/>
  <c r="K179" i="39"/>
  <c r="J179" i="39"/>
  <c r="I178" i="39"/>
  <c r="O176" i="39"/>
  <c r="P178" i="39" s="1"/>
  <c r="J176" i="39"/>
  <c r="K175" i="39"/>
  <c r="J175" i="39"/>
  <c r="I174" i="39"/>
  <c r="O172" i="39"/>
  <c r="P174" i="39" s="1"/>
  <c r="K171" i="39"/>
  <c r="I170" i="39"/>
  <c r="O168" i="39"/>
  <c r="P170" i="39" s="1"/>
  <c r="K167" i="39"/>
  <c r="H165" i="39"/>
  <c r="I166" i="39" s="1"/>
  <c r="O163" i="39"/>
  <c r="P166" i="39" s="1"/>
  <c r="J163" i="39"/>
  <c r="K162" i="39"/>
  <c r="J162" i="39"/>
  <c r="I161" i="39"/>
  <c r="O159" i="39"/>
  <c r="P161" i="39" s="1"/>
  <c r="J159" i="39"/>
  <c r="K158" i="39"/>
  <c r="I157" i="39"/>
  <c r="O155" i="39"/>
  <c r="P157" i="39" s="1"/>
  <c r="K154" i="39"/>
  <c r="I153" i="39"/>
  <c r="O151" i="39"/>
  <c r="P153" i="39" s="1"/>
  <c r="K150" i="39"/>
  <c r="H148" i="39"/>
  <c r="I149" i="39" s="1"/>
  <c r="O146" i="39"/>
  <c r="P149" i="39" s="1"/>
  <c r="J146" i="39"/>
  <c r="K145" i="39"/>
  <c r="J145" i="39"/>
  <c r="I144" i="39"/>
  <c r="O142" i="39"/>
  <c r="P144" i="39" s="1"/>
  <c r="J142" i="39"/>
  <c r="K141" i="39"/>
  <c r="J141" i="39"/>
  <c r="I140" i="39"/>
  <c r="O138" i="39"/>
  <c r="P140" i="39" s="1"/>
  <c r="J138" i="39"/>
  <c r="K137" i="39"/>
  <c r="J137" i="39"/>
  <c r="I136" i="39"/>
  <c r="O134" i="39"/>
  <c r="P136" i="39" s="1"/>
  <c r="J134" i="39"/>
  <c r="K133" i="39"/>
  <c r="J133" i="39"/>
  <c r="I132" i="39"/>
  <c r="O130" i="39"/>
  <c r="P132" i="39" s="1"/>
  <c r="J130" i="39"/>
  <c r="K129" i="39"/>
  <c r="J129" i="39"/>
  <c r="I128" i="39"/>
  <c r="O126" i="39"/>
  <c r="P128" i="39" s="1"/>
  <c r="K125" i="39"/>
  <c r="I124" i="39"/>
  <c r="O122" i="39"/>
  <c r="P124" i="39" s="1"/>
  <c r="K121" i="39"/>
  <c r="O119" i="39"/>
  <c r="G119" i="39"/>
  <c r="H119" i="39" s="1"/>
  <c r="O118" i="39"/>
  <c r="G118" i="39"/>
  <c r="F118" i="39"/>
  <c r="O115" i="39"/>
  <c r="G115" i="39"/>
  <c r="F115" i="39"/>
  <c r="O114" i="39"/>
  <c r="J114" i="39"/>
  <c r="G114" i="39"/>
  <c r="F114" i="39"/>
  <c r="J113" i="39"/>
  <c r="O111" i="39"/>
  <c r="J111" i="39"/>
  <c r="G111" i="39"/>
  <c r="F111" i="39"/>
  <c r="O110" i="39"/>
  <c r="J110" i="39"/>
  <c r="G110" i="39"/>
  <c r="F110" i="39"/>
  <c r="K109" i="39"/>
  <c r="J109" i="39"/>
  <c r="O106" i="39"/>
  <c r="J106" i="39"/>
  <c r="G106" i="39"/>
  <c r="F106" i="39"/>
  <c r="O105" i="39"/>
  <c r="J105" i="39"/>
  <c r="G105" i="39"/>
  <c r="F105" i="39"/>
  <c r="K104" i="39"/>
  <c r="J104" i="39"/>
  <c r="O102" i="39"/>
  <c r="P103" i="39" s="1"/>
  <c r="J102" i="39"/>
  <c r="G102" i="39"/>
  <c r="F102" i="39"/>
  <c r="K101" i="39"/>
  <c r="J101" i="39"/>
  <c r="O99" i="39"/>
  <c r="O98" i="39"/>
  <c r="P100" i="39" s="1"/>
  <c r="G98" i="39"/>
  <c r="F98" i="39"/>
  <c r="K97" i="39"/>
  <c r="J97" i="39"/>
  <c r="O95" i="39"/>
  <c r="G95" i="39"/>
  <c r="F95" i="39"/>
  <c r="O94" i="39"/>
  <c r="J94" i="39"/>
  <c r="G94" i="39"/>
  <c r="F94" i="39"/>
  <c r="K93" i="39"/>
  <c r="J93" i="39"/>
  <c r="O91" i="39"/>
  <c r="G91" i="39"/>
  <c r="F91" i="39"/>
  <c r="O90" i="39"/>
  <c r="J90" i="39"/>
  <c r="G90" i="39"/>
  <c r="F90" i="39"/>
  <c r="J89" i="39"/>
  <c r="O87" i="39"/>
  <c r="J87" i="39"/>
  <c r="G87" i="39"/>
  <c r="F87" i="39"/>
  <c r="O86" i="39"/>
  <c r="J86" i="39"/>
  <c r="G86" i="39"/>
  <c r="H86" i="39" s="1"/>
  <c r="F86" i="39"/>
  <c r="K85" i="39"/>
  <c r="J85" i="39"/>
  <c r="O82" i="39"/>
  <c r="J82" i="39"/>
  <c r="G82" i="39"/>
  <c r="H82" i="39" s="1"/>
  <c r="F82" i="39"/>
  <c r="O81" i="39"/>
  <c r="J81" i="39"/>
  <c r="G81" i="39"/>
  <c r="F81" i="39"/>
  <c r="K80" i="39"/>
  <c r="J80" i="39"/>
  <c r="O78" i="39"/>
  <c r="P79" i="39" s="1"/>
  <c r="J78" i="39"/>
  <c r="G78" i="39"/>
  <c r="F78" i="39"/>
  <c r="K77" i="39"/>
  <c r="J77" i="39"/>
  <c r="O75" i="39"/>
  <c r="O74" i="39"/>
  <c r="P76" i="39" s="1"/>
  <c r="G74" i="39"/>
  <c r="F74" i="39"/>
  <c r="K73" i="39"/>
  <c r="J73" i="39"/>
  <c r="O71" i="39"/>
  <c r="G71" i="39"/>
  <c r="F71" i="39"/>
  <c r="H71" i="39" s="1"/>
  <c r="O70" i="39"/>
  <c r="J70" i="39"/>
  <c r="G70" i="39"/>
  <c r="F70" i="39"/>
  <c r="H70" i="39" s="1"/>
  <c r="I72" i="39" s="1"/>
  <c r="K69" i="39"/>
  <c r="J69" i="39"/>
  <c r="O67" i="39"/>
  <c r="G67" i="39"/>
  <c r="F67" i="39"/>
  <c r="O66" i="39"/>
  <c r="G66" i="39"/>
  <c r="F66" i="39"/>
  <c r="J65" i="39"/>
  <c r="O63" i="39"/>
  <c r="G63" i="39"/>
  <c r="F63" i="39"/>
  <c r="O62" i="39"/>
  <c r="J62" i="39"/>
  <c r="G62" i="39"/>
  <c r="F62" i="39"/>
  <c r="K61" i="39"/>
  <c r="J61" i="39"/>
  <c r="O58" i="39"/>
  <c r="G58" i="39"/>
  <c r="F58" i="39"/>
  <c r="O57" i="39"/>
  <c r="G57" i="39"/>
  <c r="F57" i="39"/>
  <c r="K56" i="39"/>
  <c r="J56" i="39"/>
  <c r="O54" i="39"/>
  <c r="G54" i="39"/>
  <c r="F54" i="39"/>
  <c r="O53" i="39"/>
  <c r="J53" i="39"/>
  <c r="G53" i="39"/>
  <c r="F53" i="39"/>
  <c r="K52" i="39"/>
  <c r="J52" i="39"/>
  <c r="O50" i="39"/>
  <c r="G50" i="39"/>
  <c r="F50" i="39"/>
  <c r="O49" i="39"/>
  <c r="G49" i="39"/>
  <c r="F49" i="39"/>
  <c r="K48" i="39"/>
  <c r="J48" i="39"/>
  <c r="O46" i="39"/>
  <c r="P47" i="39" s="1"/>
  <c r="J46" i="39"/>
  <c r="G46" i="39"/>
  <c r="F46" i="39"/>
  <c r="K45" i="39"/>
  <c r="J45" i="39"/>
  <c r="O43" i="39"/>
  <c r="G43" i="39"/>
  <c r="F43" i="39"/>
  <c r="O42" i="39"/>
  <c r="J42" i="39"/>
  <c r="G42" i="39"/>
  <c r="F42" i="39"/>
  <c r="K41" i="39"/>
  <c r="J41" i="39"/>
  <c r="O38" i="39"/>
  <c r="P40" i="39" s="1"/>
  <c r="J38" i="39"/>
  <c r="G38" i="39"/>
  <c r="F38" i="39"/>
  <c r="K37" i="39"/>
  <c r="J37" i="39"/>
  <c r="O34" i="39"/>
  <c r="P36" i="39" s="1"/>
  <c r="G34" i="39"/>
  <c r="F34" i="39"/>
  <c r="K33" i="39"/>
  <c r="O31" i="39"/>
  <c r="P32" i="39" s="1"/>
  <c r="J31" i="39"/>
  <c r="H31" i="39"/>
  <c r="I32" i="39" s="1"/>
  <c r="K30" i="39"/>
  <c r="J30" i="39"/>
  <c r="O28" i="39"/>
  <c r="P29" i="39" s="1"/>
  <c r="J28" i="39"/>
  <c r="H28" i="39"/>
  <c r="I29" i="39" s="1"/>
  <c r="K27" i="39"/>
  <c r="J27" i="39"/>
  <c r="O25" i="39"/>
  <c r="P26" i="39" s="1"/>
  <c r="J25" i="39"/>
  <c r="G25" i="39"/>
  <c r="F25" i="39"/>
  <c r="K24" i="39"/>
  <c r="J24" i="39"/>
  <c r="O22" i="39"/>
  <c r="O21" i="39"/>
  <c r="P23" i="39" s="1"/>
  <c r="H21" i="39"/>
  <c r="I23" i="39" s="1"/>
  <c r="K20" i="39"/>
  <c r="O18" i="39"/>
  <c r="G18" i="39"/>
  <c r="F18" i="39"/>
  <c r="O17" i="39"/>
  <c r="J17" i="39"/>
  <c r="G17" i="39"/>
  <c r="F17" i="39"/>
  <c r="K16" i="39"/>
  <c r="J16" i="39"/>
  <c r="O14" i="39"/>
  <c r="O13" i="39"/>
  <c r="P15" i="39" s="1"/>
  <c r="G13" i="39"/>
  <c r="F13" i="39"/>
  <c r="K12" i="39"/>
  <c r="H18" i="39" l="1"/>
  <c r="H34" i="39"/>
  <c r="I36" i="39" s="1"/>
  <c r="Q36" i="39" s="1"/>
  <c r="H53" i="39"/>
  <c r="I55" i="39" s="1"/>
  <c r="H54" i="39"/>
  <c r="H57" i="39"/>
  <c r="H67" i="39"/>
  <c r="H95" i="39"/>
  <c r="H106" i="39"/>
  <c r="H115" i="39"/>
  <c r="H13" i="39"/>
  <c r="I15" i="39" s="1"/>
  <c r="H25" i="39"/>
  <c r="I26" i="39" s="1"/>
  <c r="Q26" i="39" s="1"/>
  <c r="H42" i="39"/>
  <c r="I44" i="39" s="1"/>
  <c r="H43" i="39"/>
  <c r="H46" i="39"/>
  <c r="I47" i="39" s="1"/>
  <c r="Q47" i="39" s="1"/>
  <c r="H50" i="39"/>
  <c r="H58" i="39"/>
  <c r="H81" i="39"/>
  <c r="I84" i="39" s="1"/>
  <c r="H90" i="39"/>
  <c r="I92" i="39" s="1"/>
  <c r="H94" i="39"/>
  <c r="I96" i="39" s="1"/>
  <c r="H98" i="39"/>
  <c r="I100" i="39" s="1"/>
  <c r="H102" i="39"/>
  <c r="I103" i="39" s="1"/>
  <c r="Q103" i="39" s="1"/>
  <c r="H17" i="39"/>
  <c r="H38" i="39"/>
  <c r="I40" i="39" s="1"/>
  <c r="H49" i="39"/>
  <c r="I51" i="39" s="1"/>
  <c r="H62" i="39"/>
  <c r="I64" i="39" s="1"/>
  <c r="H63" i="39"/>
  <c r="H66" i="39"/>
  <c r="I68" i="39" s="1"/>
  <c r="H74" i="39"/>
  <c r="I76" i="39" s="1"/>
  <c r="H78" i="39"/>
  <c r="I79" i="39" s="1"/>
  <c r="Q79" i="39" s="1"/>
  <c r="H87" i="39"/>
  <c r="I88" i="39" s="1"/>
  <c r="H91" i="39"/>
  <c r="H105" i="39"/>
  <c r="I108" i="39" s="1"/>
  <c r="H110" i="39"/>
  <c r="H111" i="39"/>
  <c r="H114" i="39"/>
  <c r="I116" i="39" s="1"/>
  <c r="H118" i="39"/>
  <c r="I120" i="39" s="1"/>
  <c r="P96" i="39"/>
  <c r="Q96" i="39" s="1"/>
  <c r="Q153" i="39"/>
  <c r="P112" i="39"/>
  <c r="P92" i="39"/>
  <c r="Q92" i="39" s="1"/>
  <c r="Q281" i="39"/>
  <c r="Q128" i="39"/>
  <c r="Q182" i="39"/>
  <c r="Q294" i="39"/>
  <c r="Q240" i="39"/>
  <c r="P55" i="39"/>
  <c r="Q215" i="39"/>
  <c r="P120" i="39"/>
  <c r="Q244" i="39"/>
  <c r="Q236" i="39"/>
  <c r="Q264" i="39"/>
  <c r="P51" i="39"/>
  <c r="P68" i="39"/>
  <c r="P88" i="39"/>
  <c r="P60" i="39"/>
  <c r="Q170" i="39"/>
  <c r="I60" i="39"/>
  <c r="Q203" i="39"/>
  <c r="Q228" i="39"/>
  <c r="Q32" i="39"/>
  <c r="Q15" i="39"/>
  <c r="Q23" i="39"/>
  <c r="Q29" i="39"/>
  <c r="P116" i="39"/>
  <c r="Q116" i="39" s="1"/>
  <c r="Q232" i="39"/>
  <c r="Q256" i="39"/>
  <c r="P44" i="39"/>
  <c r="Q144" i="39"/>
  <c r="Q166" i="39"/>
  <c r="Q223" i="39"/>
  <c r="Q260" i="39"/>
  <c r="Q289" i="39"/>
  <c r="Q149" i="39"/>
  <c r="Q178" i="39"/>
  <c r="Q190" i="39"/>
  <c r="Q211" i="39"/>
  <c r="Q277" i="39"/>
  <c r="Q195" i="39"/>
  <c r="P19" i="39"/>
  <c r="Q40" i="39"/>
  <c r="P64" i="39"/>
  <c r="Q252" i="39"/>
  <c r="Q140" i="39"/>
  <c r="Q269" i="39"/>
  <c r="P72" i="39"/>
  <c r="Q72" i="39" s="1"/>
  <c r="Q76" i="39"/>
  <c r="P84" i="39"/>
  <c r="Q100" i="39"/>
  <c r="P108" i="39"/>
  <c r="I112" i="39"/>
  <c r="Q161" i="39"/>
  <c r="Q219" i="39"/>
  <c r="Q285" i="39"/>
  <c r="I19" i="39"/>
  <c r="Q124" i="39"/>
  <c r="Q132" i="39"/>
  <c r="Q174" i="39"/>
  <c r="Q186" i="39"/>
  <c r="Q199" i="39"/>
  <c r="Q207" i="39"/>
  <c r="Q273" i="39"/>
  <c r="Q157" i="39"/>
  <c r="Q248" i="39"/>
  <c r="Q136" i="39"/>
  <c r="Q55" i="39" l="1"/>
  <c r="Q44" i="39"/>
  <c r="Q68" i="39"/>
  <c r="Q51" i="39"/>
  <c r="Q120" i="39"/>
  <c r="Q112" i="39"/>
  <c r="Q88" i="39"/>
  <c r="Q60" i="39"/>
  <c r="Q108" i="39"/>
  <c r="Q84" i="39"/>
  <c r="Q19" i="39"/>
  <c r="Q64" i="39"/>
  <c r="O407" i="38" l="1"/>
  <c r="P408" i="38" s="1"/>
  <c r="Q408" i="38" s="1"/>
  <c r="J407" i="38"/>
  <c r="H407" i="38"/>
  <c r="K406" i="38"/>
  <c r="J406" i="38"/>
  <c r="O403" i="38"/>
  <c r="P405" i="38" s="1"/>
  <c r="J403" i="38"/>
  <c r="H403" i="38"/>
  <c r="I405" i="38" s="1"/>
  <c r="K402" i="38"/>
  <c r="J402" i="38"/>
  <c r="O399" i="38"/>
  <c r="P401" i="38" s="1"/>
  <c r="J399" i="38"/>
  <c r="H399" i="38"/>
  <c r="I401" i="38" s="1"/>
  <c r="K398" i="38"/>
  <c r="J398" i="38"/>
  <c r="H396" i="38"/>
  <c r="H395" i="38"/>
  <c r="O394" i="38"/>
  <c r="P397" i="38" s="1"/>
  <c r="J394" i="38"/>
  <c r="K393" i="38"/>
  <c r="J393" i="38"/>
  <c r="I392" i="38"/>
  <c r="O391" i="38"/>
  <c r="P392" i="38" s="1"/>
  <c r="K390" i="38"/>
  <c r="O387" i="38"/>
  <c r="P389" i="38" s="1"/>
  <c r="J387" i="38"/>
  <c r="H387" i="38"/>
  <c r="I389" i="38" s="1"/>
  <c r="K386" i="38"/>
  <c r="H384" i="38"/>
  <c r="H383" i="38"/>
  <c r="O382" i="38"/>
  <c r="P385" i="38" s="1"/>
  <c r="J382" i="38"/>
  <c r="K381" i="38"/>
  <c r="J381" i="38"/>
  <c r="I380" i="38"/>
  <c r="O379" i="38"/>
  <c r="P380" i="38" s="1"/>
  <c r="K378" i="38"/>
  <c r="H376" i="38"/>
  <c r="H375" i="38"/>
  <c r="O374" i="38"/>
  <c r="P377" i="38" s="1"/>
  <c r="J374" i="38"/>
  <c r="K373" i="38"/>
  <c r="J373" i="38"/>
  <c r="I372" i="38"/>
  <c r="O371" i="38"/>
  <c r="P372" i="38" s="1"/>
  <c r="K370" i="38"/>
  <c r="O367" i="38"/>
  <c r="P369" i="38" s="1"/>
  <c r="J367" i="38"/>
  <c r="H367" i="38"/>
  <c r="I369" i="38" s="1"/>
  <c r="K366" i="38"/>
  <c r="J366" i="38"/>
  <c r="O363" i="38"/>
  <c r="P365" i="38" s="1"/>
  <c r="J363" i="38"/>
  <c r="H363" i="38"/>
  <c r="I365" i="38" s="1"/>
  <c r="K362" i="38"/>
  <c r="J362" i="38"/>
  <c r="H360" i="38"/>
  <c r="H359" i="38"/>
  <c r="O358" i="38"/>
  <c r="P361" i="38" s="1"/>
  <c r="J358" i="38"/>
  <c r="K357" i="38"/>
  <c r="J357" i="38"/>
  <c r="O354" i="38"/>
  <c r="P356" i="38" s="1"/>
  <c r="J354" i="38"/>
  <c r="H354" i="38"/>
  <c r="I356" i="38" s="1"/>
  <c r="K353" i="38"/>
  <c r="J353" i="38"/>
  <c r="H351" i="38"/>
  <c r="H350" i="38"/>
  <c r="O349" i="38"/>
  <c r="P352" i="38" s="1"/>
  <c r="K348" i="38"/>
  <c r="J348" i="38"/>
  <c r="I347" i="38"/>
  <c r="O346" i="38"/>
  <c r="P347" i="38" s="1"/>
  <c r="K345" i="38"/>
  <c r="J345" i="38"/>
  <c r="O342" i="38"/>
  <c r="P344" i="38" s="1"/>
  <c r="J342" i="38"/>
  <c r="H342" i="38"/>
  <c r="I344" i="38" s="1"/>
  <c r="K341" i="38"/>
  <c r="J341" i="38"/>
  <c r="O339" i="38"/>
  <c r="P340" i="38" s="1"/>
  <c r="J339" i="38"/>
  <c r="H339" i="38"/>
  <c r="I340" i="38" s="1"/>
  <c r="K338" i="38"/>
  <c r="J338" i="38"/>
  <c r="O335" i="38"/>
  <c r="P337" i="38" s="1"/>
  <c r="J335" i="38"/>
  <c r="H335" i="38"/>
  <c r="I337" i="38" s="1"/>
  <c r="K334" i="38"/>
  <c r="J334" i="38"/>
  <c r="H332" i="38"/>
  <c r="H331" i="38"/>
  <c r="O330" i="38"/>
  <c r="P333" i="38" s="1"/>
  <c r="J330" i="38"/>
  <c r="K329" i="38"/>
  <c r="I328" i="38"/>
  <c r="O327" i="38"/>
  <c r="P328" i="38" s="1"/>
  <c r="K326" i="38"/>
  <c r="O324" i="38"/>
  <c r="P325" i="38" s="1"/>
  <c r="J324" i="38"/>
  <c r="H324" i="38"/>
  <c r="I325" i="38" s="1"/>
  <c r="K323" i="38"/>
  <c r="J323" i="38"/>
  <c r="O321" i="38"/>
  <c r="P322" i="38" s="1"/>
  <c r="Q322" i="38" s="1"/>
  <c r="J321" i="38"/>
  <c r="K320" i="38"/>
  <c r="J320" i="38"/>
  <c r="I319" i="38"/>
  <c r="O317" i="38"/>
  <c r="P319" i="38" s="1"/>
  <c r="J317" i="38"/>
  <c r="K316" i="38"/>
  <c r="J316" i="38"/>
  <c r="I315" i="38"/>
  <c r="O313" i="38"/>
  <c r="P315" i="38" s="1"/>
  <c r="J313" i="38"/>
  <c r="K312" i="38"/>
  <c r="J312" i="38"/>
  <c r="I311" i="38"/>
  <c r="O309" i="38"/>
  <c r="P311" i="38" s="1"/>
  <c r="J309" i="38"/>
  <c r="K308" i="38"/>
  <c r="J308" i="38"/>
  <c r="I307" i="38"/>
  <c r="O305" i="38"/>
  <c r="P307" i="38" s="1"/>
  <c r="J305" i="38"/>
  <c r="K304" i="38"/>
  <c r="J304" i="38"/>
  <c r="I303" i="38"/>
  <c r="O301" i="38"/>
  <c r="P303" i="38" s="1"/>
  <c r="J301" i="38"/>
  <c r="K300" i="38"/>
  <c r="J300" i="38"/>
  <c r="I299" i="38"/>
  <c r="O297" i="38"/>
  <c r="P299" i="38" s="1"/>
  <c r="J297" i="38"/>
  <c r="K296" i="38"/>
  <c r="J296" i="38"/>
  <c r="I295" i="38"/>
  <c r="O293" i="38"/>
  <c r="P295" i="38" s="1"/>
  <c r="J293" i="38"/>
  <c r="K292" i="38"/>
  <c r="J292" i="38"/>
  <c r="I291" i="38"/>
  <c r="O289" i="38"/>
  <c r="P291" i="38" s="1"/>
  <c r="J289" i="38"/>
  <c r="K288" i="38"/>
  <c r="J288" i="38"/>
  <c r="I287" i="38"/>
  <c r="O285" i="38"/>
  <c r="P287" i="38" s="1"/>
  <c r="J285" i="38"/>
  <c r="K284" i="38"/>
  <c r="I283" i="38"/>
  <c r="O281" i="38"/>
  <c r="P283" i="38" s="1"/>
  <c r="K280" i="38"/>
  <c r="O278" i="38"/>
  <c r="P279" i="38" s="1"/>
  <c r="J278" i="38"/>
  <c r="H278" i="38"/>
  <c r="I279" i="38" s="1"/>
  <c r="K277" i="38"/>
  <c r="J277" i="38"/>
  <c r="I276" i="38"/>
  <c r="O274" i="38"/>
  <c r="P276" i="38" s="1"/>
  <c r="J274" i="38"/>
  <c r="K273" i="38"/>
  <c r="J273" i="38"/>
  <c r="I272" i="38"/>
  <c r="O270" i="38"/>
  <c r="P272" i="38" s="1"/>
  <c r="K269" i="38"/>
  <c r="J269" i="38"/>
  <c r="I268" i="38"/>
  <c r="O266" i="38"/>
  <c r="P268" i="38" s="1"/>
  <c r="J266" i="38"/>
  <c r="K265" i="38"/>
  <c r="J265" i="38"/>
  <c r="I264" i="38"/>
  <c r="O262" i="38"/>
  <c r="P264" i="38" s="1"/>
  <c r="J262" i="38"/>
  <c r="K261" i="38"/>
  <c r="J261" i="38"/>
  <c r="O259" i="38"/>
  <c r="P260" i="38" s="1"/>
  <c r="J259" i="38"/>
  <c r="H259" i="38"/>
  <c r="I260" i="38" s="1"/>
  <c r="K258" i="38"/>
  <c r="J258" i="38"/>
  <c r="O256" i="38"/>
  <c r="P257" i="38" s="1"/>
  <c r="Q257" i="38" s="1"/>
  <c r="J256" i="38"/>
  <c r="K255" i="38"/>
  <c r="J255" i="38"/>
  <c r="I254" i="38"/>
  <c r="O252" i="38"/>
  <c r="P254" i="38" s="1"/>
  <c r="J252" i="38"/>
  <c r="K251" i="38"/>
  <c r="J251" i="38"/>
  <c r="I250" i="38"/>
  <c r="O248" i="38"/>
  <c r="P250" i="38" s="1"/>
  <c r="J248" i="38"/>
  <c r="K247" i="38"/>
  <c r="J247" i="38"/>
  <c r="I246" i="38"/>
  <c r="O244" i="38"/>
  <c r="P246" i="38" s="1"/>
  <c r="K243" i="38"/>
  <c r="J243" i="38"/>
  <c r="I242" i="38"/>
  <c r="O240" i="38"/>
  <c r="P242" i="38" s="1"/>
  <c r="J240" i="38"/>
  <c r="K239" i="38"/>
  <c r="J239" i="38"/>
  <c r="O237" i="38"/>
  <c r="P238" i="38" s="1"/>
  <c r="J237" i="38"/>
  <c r="H237" i="38"/>
  <c r="I238" i="38" s="1"/>
  <c r="K236" i="38"/>
  <c r="J236" i="38"/>
  <c r="O234" i="38"/>
  <c r="P235" i="38" s="1"/>
  <c r="Q235" i="38" s="1"/>
  <c r="K233" i="38"/>
  <c r="I232" i="38"/>
  <c r="O230" i="38"/>
  <c r="P232" i="38" s="1"/>
  <c r="J230" i="38"/>
  <c r="K229" i="38"/>
  <c r="J229" i="38"/>
  <c r="I228" i="38"/>
  <c r="O226" i="38"/>
  <c r="P228" i="38" s="1"/>
  <c r="J226" i="38"/>
  <c r="K225" i="38"/>
  <c r="J225" i="38"/>
  <c r="I224" i="38"/>
  <c r="O222" i="38"/>
  <c r="P224" i="38" s="1"/>
  <c r="J222" i="38"/>
  <c r="K221" i="38"/>
  <c r="J221" i="38"/>
  <c r="I220" i="38"/>
  <c r="O218" i="38"/>
  <c r="P220" i="38" s="1"/>
  <c r="K217" i="38"/>
  <c r="O215" i="38"/>
  <c r="P216" i="38" s="1"/>
  <c r="H215" i="38"/>
  <c r="I216" i="38" s="1"/>
  <c r="K214" i="38"/>
  <c r="O212" i="38"/>
  <c r="P213" i="38" s="1"/>
  <c r="Q213" i="38" s="1"/>
  <c r="K211" i="38"/>
  <c r="I210" i="38"/>
  <c r="O208" i="38"/>
  <c r="P210" i="38" s="1"/>
  <c r="K207" i="38"/>
  <c r="I206" i="38"/>
  <c r="O204" i="38"/>
  <c r="P206" i="38" s="1"/>
  <c r="K203" i="38"/>
  <c r="I202" i="38"/>
  <c r="O200" i="38"/>
  <c r="P202" i="38" s="1"/>
  <c r="K199" i="38"/>
  <c r="I198" i="38"/>
  <c r="O196" i="38"/>
  <c r="P198" i="38" s="1"/>
  <c r="K195" i="38"/>
  <c r="I194" i="38"/>
  <c r="O192" i="38"/>
  <c r="P194" i="38" s="1"/>
  <c r="K191" i="38"/>
  <c r="I190" i="38"/>
  <c r="O188" i="38"/>
  <c r="P190" i="38" s="1"/>
  <c r="K187" i="38"/>
  <c r="I186" i="38"/>
  <c r="O184" i="38"/>
  <c r="P186" i="38" s="1"/>
  <c r="K183" i="38"/>
  <c r="I182" i="38"/>
  <c r="O180" i="38"/>
  <c r="P182" i="38" s="1"/>
  <c r="K179" i="38"/>
  <c r="I178" i="38"/>
  <c r="O176" i="38"/>
  <c r="P178" i="38" s="1"/>
  <c r="K175" i="38"/>
  <c r="P174" i="38"/>
  <c r="I174" i="38"/>
  <c r="K171" i="38"/>
  <c r="O169" i="38"/>
  <c r="P170" i="38" s="1"/>
  <c r="J169" i="38"/>
  <c r="H169" i="38"/>
  <c r="I170" i="38" s="1"/>
  <c r="K168" i="38"/>
  <c r="J168" i="38"/>
  <c r="O166" i="38"/>
  <c r="P167" i="38" s="1"/>
  <c r="Q167" i="38" s="1"/>
  <c r="K165" i="38"/>
  <c r="I164" i="38"/>
  <c r="O162" i="38"/>
  <c r="P164" i="38" s="1"/>
  <c r="J162" i="38"/>
  <c r="K161" i="38"/>
  <c r="J161" i="38"/>
  <c r="P160" i="38"/>
  <c r="I160" i="38"/>
  <c r="J158" i="38"/>
  <c r="K157" i="38"/>
  <c r="J157" i="38"/>
  <c r="I156" i="38"/>
  <c r="O154" i="38"/>
  <c r="P156" i="38" s="1"/>
  <c r="J154" i="38"/>
  <c r="K153" i="38"/>
  <c r="J153" i="38"/>
  <c r="I152" i="38"/>
  <c r="O150" i="38"/>
  <c r="P152" i="38" s="1"/>
  <c r="J150" i="38"/>
  <c r="K149" i="38"/>
  <c r="J149" i="38"/>
  <c r="I148" i="38"/>
  <c r="O146" i="38"/>
  <c r="P148" i="38" s="1"/>
  <c r="J146" i="38"/>
  <c r="K145" i="38"/>
  <c r="J145" i="38"/>
  <c r="I144" i="38"/>
  <c r="O142" i="38"/>
  <c r="P144" i="38" s="1"/>
  <c r="J142" i="38"/>
  <c r="K141" i="38"/>
  <c r="J141" i="38"/>
  <c r="I140" i="38"/>
  <c r="O138" i="38"/>
  <c r="P140" i="38" s="1"/>
  <c r="J138" i="38"/>
  <c r="K137" i="38"/>
  <c r="J137" i="38"/>
  <c r="I136" i="38"/>
  <c r="O134" i="38"/>
  <c r="P136" i="38" s="1"/>
  <c r="J134" i="38"/>
  <c r="K133" i="38"/>
  <c r="J133" i="38"/>
  <c r="I132" i="38"/>
  <c r="O130" i="38"/>
  <c r="P132" i="38" s="1"/>
  <c r="J130" i="38"/>
  <c r="J129" i="38"/>
  <c r="I128" i="38"/>
  <c r="O126" i="38"/>
  <c r="P128" i="38" s="1"/>
  <c r="J126" i="38"/>
  <c r="K125" i="38"/>
  <c r="J125" i="38"/>
  <c r="I124" i="38"/>
  <c r="O122" i="38"/>
  <c r="P124" i="38" s="1"/>
  <c r="K121" i="38"/>
  <c r="I120" i="38"/>
  <c r="O118" i="38"/>
  <c r="P120" i="38" s="1"/>
  <c r="K117" i="38"/>
  <c r="O115" i="38"/>
  <c r="P116" i="38" s="1"/>
  <c r="J115" i="38"/>
  <c r="H115" i="38"/>
  <c r="I116" i="38" s="1"/>
  <c r="K114" i="38"/>
  <c r="J114" i="38"/>
  <c r="O112" i="38"/>
  <c r="P113" i="38" s="1"/>
  <c r="Q113" i="38" s="1"/>
  <c r="J112" i="38"/>
  <c r="K111" i="38"/>
  <c r="J111" i="38"/>
  <c r="I110" i="38"/>
  <c r="O108" i="38"/>
  <c r="P110" i="38" s="1"/>
  <c r="J108" i="38"/>
  <c r="K107" i="38"/>
  <c r="J107" i="38"/>
  <c r="I106" i="38"/>
  <c r="O104" i="38"/>
  <c r="P106" i="38" s="1"/>
  <c r="J104" i="38"/>
  <c r="K103" i="38"/>
  <c r="J103" i="38"/>
  <c r="I102" i="38"/>
  <c r="O100" i="38"/>
  <c r="P102" i="38" s="1"/>
  <c r="J100" i="38"/>
  <c r="K99" i="38"/>
  <c r="J99" i="38"/>
  <c r="I98" i="38"/>
  <c r="O96" i="38"/>
  <c r="P98" i="38" s="1"/>
  <c r="J96" i="38"/>
  <c r="K95" i="38"/>
  <c r="J95" i="38"/>
  <c r="I94" i="38"/>
  <c r="O92" i="38"/>
  <c r="P94" i="38" s="1"/>
  <c r="J92" i="38"/>
  <c r="K91" i="38"/>
  <c r="J91" i="38"/>
  <c r="I90" i="38"/>
  <c r="O88" i="38"/>
  <c r="P90" i="38" s="1"/>
  <c r="K87" i="38"/>
  <c r="I86" i="38"/>
  <c r="O85" i="38"/>
  <c r="P86" i="38" s="1"/>
  <c r="K84" i="38"/>
  <c r="O82" i="38"/>
  <c r="P83" i="38" s="1"/>
  <c r="H82" i="38"/>
  <c r="I83" i="38" s="1"/>
  <c r="K81" i="38"/>
  <c r="O79" i="38"/>
  <c r="P80" i="38" s="1"/>
  <c r="Q80" i="38" s="1"/>
  <c r="K78" i="38"/>
  <c r="I77" i="38"/>
  <c r="O75" i="38"/>
  <c r="P77" i="38" s="1"/>
  <c r="K74" i="38"/>
  <c r="I73" i="38"/>
  <c r="O71" i="38"/>
  <c r="P73" i="38" s="1"/>
  <c r="K70" i="38"/>
  <c r="I69" i="38"/>
  <c r="O67" i="38"/>
  <c r="P69" i="38" s="1"/>
  <c r="K66" i="38"/>
  <c r="I65" i="38"/>
  <c r="O63" i="38"/>
  <c r="P65" i="38" s="1"/>
  <c r="K62" i="38"/>
  <c r="I61" i="38"/>
  <c r="O59" i="38"/>
  <c r="P61" i="38" s="1"/>
  <c r="K58" i="38"/>
  <c r="I57" i="38"/>
  <c r="O55" i="38"/>
  <c r="P57" i="38" s="1"/>
  <c r="K54" i="38"/>
  <c r="I53" i="38"/>
  <c r="O51" i="38"/>
  <c r="P53" i="38" s="1"/>
  <c r="J51" i="38"/>
  <c r="K50" i="38"/>
  <c r="J50" i="38"/>
  <c r="I49" i="38"/>
  <c r="O47" i="38"/>
  <c r="P49" i="38" s="1"/>
  <c r="J47" i="38"/>
  <c r="K46" i="38"/>
  <c r="J46" i="38"/>
  <c r="I45" i="38"/>
  <c r="O43" i="38"/>
  <c r="P45" i="38" s="1"/>
  <c r="J43" i="38"/>
  <c r="K42" i="38"/>
  <c r="J42" i="38"/>
  <c r="I41" i="38"/>
  <c r="O39" i="38"/>
  <c r="P41" i="38" s="1"/>
  <c r="J39" i="38"/>
  <c r="K38" i="38"/>
  <c r="J38" i="38"/>
  <c r="I37" i="38"/>
  <c r="O35" i="38"/>
  <c r="P37" i="38" s="1"/>
  <c r="J35" i="38"/>
  <c r="K34" i="38"/>
  <c r="J34" i="38"/>
  <c r="O32" i="38"/>
  <c r="P33" i="38" s="1"/>
  <c r="J32" i="38"/>
  <c r="H32" i="38"/>
  <c r="I33" i="38" s="1"/>
  <c r="K31" i="38"/>
  <c r="J31" i="38"/>
  <c r="O29" i="38"/>
  <c r="P30" i="38" s="1"/>
  <c r="Q30" i="38" s="1"/>
  <c r="J29" i="38"/>
  <c r="K28" i="38"/>
  <c r="J28" i="38"/>
  <c r="I27" i="38"/>
  <c r="O25" i="38"/>
  <c r="P27" i="38" s="1"/>
  <c r="J25" i="38"/>
  <c r="K24" i="38"/>
  <c r="J24" i="38"/>
  <c r="I23" i="38"/>
  <c r="O21" i="38"/>
  <c r="P23" i="38" s="1"/>
  <c r="J21" i="38"/>
  <c r="K20" i="38"/>
  <c r="J20" i="38"/>
  <c r="I19" i="38"/>
  <c r="O17" i="38"/>
  <c r="P19" i="38" s="1"/>
  <c r="J17" i="38"/>
  <c r="K16" i="38"/>
  <c r="J16" i="38"/>
  <c r="I15" i="38"/>
  <c r="O13" i="38"/>
  <c r="P15" i="38" s="1"/>
  <c r="K12" i="38"/>
  <c r="Q405" i="38" l="1"/>
  <c r="Q401" i="38"/>
  <c r="Q337" i="38"/>
  <c r="Q369" i="38"/>
  <c r="I333" i="38"/>
  <c r="Q333" i="38" s="1"/>
  <c r="Q174" i="38"/>
  <c r="Q148" i="38"/>
  <c r="Q160" i="38"/>
  <c r="Q206" i="38"/>
  <c r="Q264" i="38"/>
  <c r="Q276" i="38"/>
  <c r="Q45" i="38"/>
  <c r="Q272" i="38"/>
  <c r="Q57" i="38"/>
  <c r="Q228" i="38"/>
  <c r="Q49" i="38"/>
  <c r="Q246" i="38"/>
  <c r="I361" i="38"/>
  <c r="Q361" i="38" s="1"/>
  <c r="Q27" i="38"/>
  <c r="Q315" i="38"/>
  <c r="Q198" i="38"/>
  <c r="Q340" i="38"/>
  <c r="I352" i="38"/>
  <c r="Q352" i="38" s="1"/>
  <c r="I397" i="38"/>
  <c r="Q397" i="38" s="1"/>
  <c r="Q65" i="38"/>
  <c r="Q132" i="38"/>
  <c r="Q250" i="38"/>
  <c r="Q328" i="38"/>
  <c r="Q102" i="38"/>
  <c r="Q186" i="38"/>
  <c r="Q224" i="38"/>
  <c r="Q116" i="38"/>
  <c r="Q182" i="38"/>
  <c r="Q194" i="38"/>
  <c r="Q232" i="38"/>
  <c r="Q299" i="38"/>
  <c r="Q325" i="38"/>
  <c r="Q90" i="38"/>
  <c r="Q128" i="38"/>
  <c r="Q254" i="38"/>
  <c r="Q41" i="38"/>
  <c r="Q152" i="38"/>
  <c r="Q238" i="38"/>
  <c r="Q356" i="38"/>
  <c r="Q392" i="38"/>
  <c r="Q287" i="38"/>
  <c r="Q319" i="38"/>
  <c r="Q53" i="38"/>
  <c r="Q61" i="38"/>
  <c r="Q106" i="38"/>
  <c r="Q156" i="38"/>
  <c r="Q347" i="38"/>
  <c r="Q190" i="38"/>
  <c r="Q295" i="38"/>
  <c r="Q19" i="38"/>
  <c r="Q33" i="38"/>
  <c r="Q37" i="38"/>
  <c r="Q69" i="38"/>
  <c r="Q291" i="38"/>
  <c r="Q268" i="38"/>
  <c r="Q73" i="38"/>
  <c r="Q94" i="38"/>
  <c r="Q283" i="38"/>
  <c r="Q86" i="38"/>
  <c r="Q98" i="38"/>
  <c r="Q110" i="38"/>
  <c r="Q136" i="38"/>
  <c r="Q164" i="38"/>
  <c r="Q202" i="38"/>
  <c r="Q220" i="38"/>
  <c r="Q303" i="38"/>
  <c r="Q216" i="38"/>
  <c r="Q311" i="38"/>
  <c r="I377" i="38"/>
  <c r="Q377" i="38" s="1"/>
  <c r="Q178" i="38"/>
  <c r="Q260" i="38"/>
  <c r="Q307" i="38"/>
  <c r="Q23" i="38"/>
  <c r="Q144" i="38"/>
  <c r="Q210" i="38"/>
  <c r="Q365" i="38"/>
  <c r="Q170" i="38"/>
  <c r="Q77" i="38"/>
  <c r="Q124" i="38"/>
  <c r="Q140" i="38"/>
  <c r="Q279" i="38"/>
  <c r="Q242" i="38"/>
  <c r="Q120" i="38"/>
  <c r="Q15" i="38"/>
  <c r="Q372" i="38"/>
  <c r="I385" i="38"/>
  <c r="Q385" i="38" s="1"/>
  <c r="Q83" i="38"/>
  <c r="Q380" i="38"/>
  <c r="Q389" i="38"/>
  <c r="Q344" i="38"/>
  <c r="D7" i="37" l="1"/>
  <c r="C7" i="37"/>
  <c r="B7" i="37"/>
  <c r="E6" i="37"/>
  <c r="E5" i="37"/>
  <c r="E4" i="37"/>
  <c r="E3" i="37"/>
  <c r="E2" i="37"/>
  <c r="E7" i="37" l="1"/>
</calcChain>
</file>

<file path=xl/sharedStrings.xml><?xml version="1.0" encoding="utf-8"?>
<sst xmlns="http://schemas.openxmlformats.org/spreadsheetml/2006/main" count="9142" uniqueCount="626">
  <si>
    <t>ОТЧЕТ</t>
  </si>
  <si>
    <t>№ п/п</t>
  </si>
  <si>
    <t>Критерии оценки выполнения муниципального задания</t>
  </si>
  <si>
    <t>показатели, характеризующие качество муниципальных услуг (работ)</t>
  </si>
  <si>
    <t>показатели, характеризующие объем муниципальной услуги (работы)</t>
  </si>
  <si>
    <t>наименование показателя</t>
  </si>
  <si>
    <t>Расчет оценки                 
     ,</t>
  </si>
  <si>
    <t>1.1.</t>
  </si>
  <si>
    <t>1.2.</t>
  </si>
  <si>
    <t>1.3.</t>
  </si>
  <si>
    <t>1.4.</t>
  </si>
  <si>
    <t>Единица измерения</t>
  </si>
  <si>
    <t>I</t>
  </si>
  <si>
    <t>II</t>
  </si>
  <si>
    <t>2.1.</t>
  </si>
  <si>
    <t>2.2.</t>
  </si>
  <si>
    <r>
      <t>К</t>
    </r>
    <r>
      <rPr>
        <vertAlign val="subscript"/>
        <sz val="14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</si>
  <si>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</si>
  <si>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</si>
  <si>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</si>
  <si>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</si>
  <si>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</si>
  <si>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</si>
  <si>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2i</t>
    </r>
  </si>
  <si>
    <t>ОЦитоговая</t>
  </si>
  <si>
    <t>%</t>
  </si>
  <si>
    <t>Наличие случаев невосполнимых потерь муниципального имущества на объектах транспортного хозяйства</t>
  </si>
  <si>
    <t xml:space="preserve">2.3. </t>
  </si>
  <si>
    <t>III</t>
  </si>
  <si>
    <t>3.1.</t>
  </si>
  <si>
    <t>3.2.</t>
  </si>
  <si>
    <t>выполнено в полном объеме</t>
  </si>
  <si>
    <t>об исполнении муниципального задания</t>
  </si>
  <si>
    <t>(наименование муниципального учреждения)</t>
  </si>
  <si>
    <t>Количество жалоб получателей на качество оказания муниципальной услуги</t>
  </si>
  <si>
    <t>1.5.</t>
  </si>
  <si>
    <t>шт.</t>
  </si>
  <si>
    <t xml:space="preserve">1.1. </t>
  </si>
  <si>
    <t>чел.</t>
  </si>
  <si>
    <t>2.3.</t>
  </si>
  <si>
    <t>Количество мероприятий</t>
  </si>
  <si>
    <t>ед.</t>
  </si>
  <si>
    <t>IV</t>
  </si>
  <si>
    <t>4.1.</t>
  </si>
  <si>
    <t>Число посетителей</t>
  </si>
  <si>
    <t>2.4.</t>
  </si>
  <si>
    <t>1.1.1.</t>
  </si>
  <si>
    <t>1.1.2.</t>
  </si>
  <si>
    <t>1.1.3.</t>
  </si>
  <si>
    <t>1.1.4.</t>
  </si>
  <si>
    <t>1.1.5.</t>
  </si>
  <si>
    <t>Наличие обоснованных жалоб</t>
  </si>
  <si>
    <t>3.3.</t>
  </si>
  <si>
    <t>3.4.</t>
  </si>
  <si>
    <r>
      <t>К</t>
    </r>
    <r>
      <rPr>
        <vertAlign val="subscript"/>
        <sz val="13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</si>
  <si>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</si>
  <si>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</si>
  <si>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</si>
  <si>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</si>
  <si>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</si>
  <si>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</si>
  <si>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3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</si>
  <si>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3"/>
        <color theme="1"/>
        <rFont val="Times New Roman"/>
        <family val="1"/>
        <charset val="204"/>
      </rPr>
      <t>итоговая</t>
    </r>
  </si>
  <si>
    <t>газета "Заполярная правда"</t>
  </si>
  <si>
    <t>приложение "Важные бумаги"</t>
  </si>
  <si>
    <t>Организация деятельности клубных формирований</t>
  </si>
  <si>
    <t>2.5.</t>
  </si>
  <si>
    <t>1.</t>
  </si>
  <si>
    <t>2.</t>
  </si>
  <si>
    <t>3.</t>
  </si>
  <si>
    <t>показатели, характеризующие КАЧЕСТВО муниципальных услуг (работ)</t>
  </si>
  <si>
    <t>показатели, характеризующие ОБЪЕМ муниципальной услуги (работы)</t>
  </si>
  <si>
    <t>муниципальным бюджетным учреждением "Автохозяйство"</t>
  </si>
  <si>
    <t>муниципальным автономным учреждением "Информационный центр "Норильские новости"</t>
  </si>
  <si>
    <t>муниципальным бюджетным учреждением "Молодежный центр"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</si>
  <si>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</si>
  <si>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</si>
  <si>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</si>
  <si>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</si>
  <si>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</si>
  <si>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</si>
  <si>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</si>
  <si>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</si>
  <si>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</si>
  <si>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</si>
  <si>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</si>
  <si>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</si>
  <si>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Реализация основных общеобразовательных программ дошкольного образования</t>
  </si>
  <si>
    <t>Доля родителей (ЗП), удовлетворенных условиями и качеством предоставляемой услуги.</t>
  </si>
  <si>
    <t>Число обучающихся</t>
  </si>
  <si>
    <t>Присмотр и уход</t>
  </si>
  <si>
    <t>Снижение общей заболеваемости воспитанников, посещающих учреждения исполнителя услуги, количество дней в год</t>
  </si>
  <si>
    <t>дни</t>
  </si>
  <si>
    <t>Количество проведенных консультаций</t>
  </si>
  <si>
    <t>муниципальное автономное дошкольное образовательное учреждение "Детский сад № 1 "Северок"</t>
  </si>
  <si>
    <t>муниципальное автономное дошкольное образовательное учреждение "Детский сад № 2 "Умка"</t>
  </si>
  <si>
    <t>муниципальное бюджетное дошкольное образовательное учреждение "Детский сад № 3 "Солнышко"</t>
  </si>
  <si>
    <t>муниципальное автономное дошкольное образовательное учреждение "Детский сад № 5 "Норильчонок"</t>
  </si>
  <si>
    <t>муниципальное бюджетное дошкольное образовательное учреждение № 8 "Центр развития ребёнка-Детский сад "Тундровичок"</t>
  </si>
  <si>
    <t>муниципальное бюджетное дошкольное образовательное учреждение "Детский сад № 14 "Оленёнок"</t>
  </si>
  <si>
    <t>муниципальное бюджетное дошкольное образовательное учреждение "Детский сад № 18 "Полянка"</t>
  </si>
  <si>
    <t>муниципальное бюджетное дошкольное образовательное учреждение  "Детский сад № 24 "Родничок"</t>
  </si>
  <si>
    <t>муниципальное бюджетное дошкольное образовательное учреждение  "Детский сад № 28 "Веселинка"</t>
  </si>
  <si>
    <t>муниципальное бюджетное дошкольное образовательное учреждение  "Детский сад № 29 "Вишенка"</t>
  </si>
  <si>
    <t>муниципальное бюджетное дошкольное образовательное учреждение   "Детский сад № 32 "Снегирек"</t>
  </si>
  <si>
    <t>муниципальное бюджетное дошкольное образовательное учреждение "Детский сад № 36 "Полянка"</t>
  </si>
  <si>
    <t>муниципальное автономное дошкольное образовательное учреждение "Детский сад № 45 "Улыбка"</t>
  </si>
  <si>
    <t>муниципальное бюджетное дошкольное образовательное учреждение "Детский сад № 46 "Надежда"</t>
  </si>
  <si>
    <t>муниципальное бюджетное дошкольное образовательное учреждение  "Детский сад № 59 "Золушка"</t>
  </si>
  <si>
    <t>муниципальное бюджетное дошкольное образовательное учреждение "Детский сад № 66 "Радость"</t>
  </si>
  <si>
    <t>муниципальное бюджетное дошкольное образовательное учреждение "Детский сад № 68 "Ладушки"</t>
  </si>
  <si>
    <t>муниципальное бюджетное дошкольное образовательное учреждение № 71 "Детский сад "Антошка"</t>
  </si>
  <si>
    <t>муниципальное бюджетное дошкольное образовательное учреждение № 73 "Центр развития ребенка - Детский сад "Веселые человечки"</t>
  </si>
  <si>
    <t>муниципальное бюджетное дошкольное образовательное учреждение  "Детский сад № 74 "Земляничка"</t>
  </si>
  <si>
    <t>муниципальное бюджетное дошкольное образовательное учреждение "Детский сад № 75 "Зайчонок"</t>
  </si>
  <si>
    <t>муниципальное бюджетное дошкольное образовательное учреждение "Детский сад № 78 "Василёк"</t>
  </si>
  <si>
    <t>муниципальное автономное дошкольное образовательное учреждение  № 81 "Центр развития ребенка - Детский сад "Конек-Горбунок"</t>
  </si>
  <si>
    <t>муниципальное бюджетное дошкольное образовательное учреждение "Детский сад № 82 "Сказка"</t>
  </si>
  <si>
    <t>муниципальное бюджетное дошкольное образовательное учреждение "Детский сад № 83 "Золотой петушок"</t>
  </si>
  <si>
    <t>муниципальное бюджетное дошкольное образовательное учреждение "Детский сад № 84 "Голубок"</t>
  </si>
  <si>
    <t>муниципальное бюджетное дошкольное образовательное учреждение "Детский сад № 86 "Брусничка"</t>
  </si>
  <si>
    <t>муниципальное бюджетное дошкольное образовательное учреждение  "Детский сад № 90  "Цветик-Семицветик"</t>
  </si>
  <si>
    <t>муниципальное бюджетное дошкольное образовательное учреждение  "Детский сад № 92 "Облачко"</t>
  </si>
  <si>
    <t>муниципальное бюджетное дошкольное образовательное учреждение "Детский сад № 93 "Капитошка"</t>
  </si>
  <si>
    <t>муниципальное бюджетное дошкольное образовательное учреждение  "Детский сад № 95 "Снежинка"</t>
  </si>
  <si>
    <t>муниципальное бюджетное дошкольное образовательное учреждение № 96 "Детский сад "Капельки"</t>
  </si>
  <si>
    <t>муниципальное бюджетное дошкольное образовательное учреждение  "Детский сад № 97 "Светлица"</t>
  </si>
  <si>
    <t>муниципальное бюджетное дошкольное образовательное учреждение "Детский сад № 98 "Загадка"</t>
  </si>
  <si>
    <t>Реализация основных общеобразовательных программ начального общего образования</t>
  </si>
  <si>
    <t>Освоение обучающимися основной образовательной программы начального общего образования</t>
  </si>
  <si>
    <t>Доля своевременно устраненных ОУ нарушений, выявленных в результате проверок органами исполнительной власти субъектов РФ, осуществляющими функции по контролю и надзору в сфере образования</t>
  </si>
  <si>
    <t>Реализация основных общеобразовательных программ основного общего образования</t>
  </si>
  <si>
    <t>Освоение обучающимися основной образовательной программы основного общего образования</t>
  </si>
  <si>
    <t>Реализация основных общеобразовательных программ среднего общего образования</t>
  </si>
  <si>
    <t>Освоение обучающимися основной образовательной программы среднего общего образования</t>
  </si>
  <si>
    <t>3.5.</t>
  </si>
  <si>
    <t>Доля удовлетворенных заявлений родителей на зачисление в ГПД</t>
  </si>
  <si>
    <t>4.2.</t>
  </si>
  <si>
    <t>Доля родителей (законных представителей), удовлетворенных условиями и качеством предоставляемой образовательной услуги</t>
  </si>
  <si>
    <t>муниципальное бюджетное общеобразовательное учреждение "Гимназия № 1"</t>
  </si>
  <si>
    <t>муниципальное автономное общеобразовательное учреждение "Гимназия № 4"</t>
  </si>
  <si>
    <t>муниципальное бюджетное общеобразовательное учреждение "Гимназия № 5"</t>
  </si>
  <si>
    <t>муниципальное бюджетное общеобразовательное учреждение "Гимназия № 7"</t>
  </si>
  <si>
    <t>муниципальное бюджетное общеобразовательное учреждение "Гимназия № 11"</t>
  </si>
  <si>
    <t>муниципальное автономное общеобразовательное учреждение "Гимназия № 48"</t>
  </si>
  <si>
    <t>муниципальное бюджетное общеобразовательное учреждение "Лицей № 3"</t>
  </si>
  <si>
    <t>муниципальное бюджетное общеобразовательное учреждение "Средняя школа № 1 с углубленным изучением физики и математики им. А.П. Завенягина"</t>
  </si>
  <si>
    <t>муниципальное бюджетное общеобразовательное учреждение "Средняя школа № 3"</t>
  </si>
  <si>
    <t>муниципальное бюджетное общеобразовательное учреждение "Средняя школа № 6"</t>
  </si>
  <si>
    <t>муниципальное бюджетное общеобразовательное учреждение "Средняя школа № 8"</t>
  </si>
  <si>
    <t>муниципальное бюджетное общеобразовательное учреждение "Средняя школа № 9"</t>
  </si>
  <si>
    <t>муниципальное бюджетное общеобразовательное учреждение "Средняя школа № 13"</t>
  </si>
  <si>
    <t>муниципальное бюджетное общеобразовательное учреждение "Средняя школа № 14"</t>
  </si>
  <si>
    <t>муниципальное бюджетное общеобразовательное учреждение "Средняя школа № 16"</t>
  </si>
  <si>
    <t>муниципальное бюджетное общеобразовательное учреждение "Средняя школа № 17"</t>
  </si>
  <si>
    <t>муниципальное бюджетное общеобразовательное учреждение "Средняя школа № 20"</t>
  </si>
  <si>
    <t>муниципальное бюджетное общеобразовательное учреждение "Средняя школа № 21"</t>
  </si>
  <si>
    <t>муниципальное бюджетное общеобразовательное учреждение "Средняя школа № 23"</t>
  </si>
  <si>
    <t>муниципальное бюджетное общеобразовательное учреждение "Средняя школа № 24"</t>
  </si>
  <si>
    <t>муниципальное бюджетное общеобразовательное учреждение "Средняя школа № 27"</t>
  </si>
  <si>
    <t>муниципальное бюджетное общеобразовательное учреждение "Средняя школа № 28"</t>
  </si>
  <si>
    <t>4.3.</t>
  </si>
  <si>
    <t>4.4.</t>
  </si>
  <si>
    <t>4.5.</t>
  </si>
  <si>
    <t>V</t>
  </si>
  <si>
    <t>5.1.</t>
  </si>
  <si>
    <t>5.2.</t>
  </si>
  <si>
    <t>5.3.</t>
  </si>
  <si>
    <t>5.4.</t>
  </si>
  <si>
    <t>5.5.</t>
  </si>
  <si>
    <t>VI</t>
  </si>
  <si>
    <t>6.1.</t>
  </si>
  <si>
    <t>6.2.</t>
  </si>
  <si>
    <t>муниципальное бюджетное общеобразовательное учреждение "Средняя школа № 29"</t>
  </si>
  <si>
    <t>муниципальное бюджетное общеобразовательное учреждение "Средняя школа № 30"</t>
  </si>
  <si>
    <t>муниципальное бюджетное общеобразовательное учреждение "Средняя школа № 31"</t>
  </si>
  <si>
    <t>муниципальное бюджетное общеобразовательное учреждение "Средняя школа № 32"</t>
  </si>
  <si>
    <t>муниципальное бюджетное общеобразовательное учреждение "Средняя школа № 33"</t>
  </si>
  <si>
    <t>муниципальное бюджетное общеобразовательное учреждение "Средняя школа № 36"</t>
  </si>
  <si>
    <t>муниципальное бюджетное общеобразовательное учреждение "Средняя школа № 37"</t>
  </si>
  <si>
    <t>муниципальное бюджетное общеобразовательное учреждение "Средняя школа № 38"</t>
  </si>
  <si>
    <t>муниципальное бюджетное общеобразовательное учреждение  "Средняя школа № 39"</t>
  </si>
  <si>
    <t>муниципальное бюджетное общеобразовательное учреждение "Средняя школа № 40"</t>
  </si>
  <si>
    <t>муниципальное бюджетное общеобразовательное учреждение "Средняя школа № 41"</t>
  </si>
  <si>
    <t>муниципальное бюджетное общеобразовательное учреждение "Средняя школа № 42"</t>
  </si>
  <si>
    <t>муниципальное бюджетное общеобразовательное учреждение "Средняя школа № 43"</t>
  </si>
  <si>
    <t>муниципальное бюджетное общеобразовательное учреждение "Средняя школа № 45"</t>
  </si>
  <si>
    <t>муниципальное бюджетное общеобразовательное учреждение ДО "Социально-образовательный центр"</t>
  </si>
  <si>
    <t>Доля родителей (ЗП), удовлетворенных качеством оказываемой услуги.</t>
  </si>
  <si>
    <t>чел/час</t>
  </si>
  <si>
    <t>художественной направленности</t>
  </si>
  <si>
    <t>физкультурно-спортивной направленности</t>
  </si>
  <si>
    <t>Выполнение календарного плана</t>
  </si>
  <si>
    <t>Количество проведенных мероприятий</t>
  </si>
  <si>
    <t>техническая направленность</t>
  </si>
  <si>
    <t>муниципальное бюджетное учреждение дополнительного образования "Дом детского творчества"</t>
  </si>
  <si>
    <t>муниципальное автономное учреждение дополнительного образования "Дворец творчества детей и молодежи"</t>
  </si>
  <si>
    <t>муниципальное бюджетное учреждение дополнительного образования  "Центр внешкольной работы"</t>
  </si>
  <si>
    <t>естественно-научной направленности</t>
  </si>
  <si>
    <t>муниципальное бюджетное учреждение дополнительного образования "Станция юных техников"</t>
  </si>
  <si>
    <t>муниципальное бюджетное учреждение "Методический центр"</t>
  </si>
  <si>
    <t>Количество отчетов, составленных по результатам работы</t>
  </si>
  <si>
    <t>Количество разработанных документов</t>
  </si>
  <si>
    <t>Количество человеко-часов</t>
  </si>
  <si>
    <t>человеко-час</t>
  </si>
  <si>
    <t xml:space="preserve">2.1. </t>
  </si>
  <si>
    <t>чел</t>
  </si>
  <si>
    <t>VII</t>
  </si>
  <si>
    <t>7.1.</t>
  </si>
  <si>
    <t>VIII</t>
  </si>
  <si>
    <t>8.1.</t>
  </si>
  <si>
    <t>Реализация дополнительных общеразвивающих программ</t>
  </si>
  <si>
    <t>7.2.</t>
  </si>
  <si>
    <t>Количество посещений</t>
  </si>
  <si>
    <t>Обеспечение доступа к объектам спорта</t>
  </si>
  <si>
    <t xml:space="preserve">Организация и проведение официальных спортивных мероприятий </t>
  </si>
  <si>
    <t>Количество участников</t>
  </si>
  <si>
    <t>Организация и проведение официальных физкультурных (физкультурно-оздоровительных) мероприятий</t>
  </si>
  <si>
    <t>Организация и проведение официальных спортивных мероприятий</t>
  </si>
  <si>
    <t>Количество занятий</t>
  </si>
  <si>
    <t>Библиотечное, библиографическое и информационное обслуживание пользователей библиотеки</t>
  </si>
  <si>
    <t>Библиографическая обработка документов и создание каталогов</t>
  </si>
  <si>
    <t>муниципальное бюджетное учреждение "Централизованная библиотечная система"</t>
  </si>
  <si>
    <t>Публичный показ музейных предметов, музейных коллекций</t>
  </si>
  <si>
    <t>Создание экспозиций (выставок) музеев, организация выездных выставок</t>
  </si>
  <si>
    <t>Осуществление реставрации и консервации музейных предметов, музейных коллекций</t>
  </si>
  <si>
    <t>Формирование, учет, изучение, обеспечение физического сохранения и безопасности музейных предметов, музейных коллекций</t>
  </si>
  <si>
    <t>муниципальное бюджетное учреждение "Музейно-выставочный комплекс "Музей Норильска"</t>
  </si>
  <si>
    <t>Количество экспозиций</t>
  </si>
  <si>
    <t>Количество предметов (отреставрированных)</t>
  </si>
  <si>
    <t>Количество предметов</t>
  </si>
  <si>
    <t>муниципальное бюджетное учреждение "Кинокомплекс "Родина"</t>
  </si>
  <si>
    <t>Число зрителей</t>
  </si>
  <si>
    <t>Количество  клубных формирований</t>
  </si>
  <si>
    <t>муниципальное бюджетное учреждение культуры "Культурно-досуговый центр им. Вл. Высоцкого"</t>
  </si>
  <si>
    <t>муниципальное бюджетное учреждение культуры   "Культурно-досуговый центр "Юбилейный"</t>
  </si>
  <si>
    <t>муниципальное бюджетное учреждение дополнительного образования "Норильская детская школа искусств"</t>
  </si>
  <si>
    <t>Реализация дополнительных общеобразовательных предпрофессиональных программ в области искусств - фортепиано</t>
  </si>
  <si>
    <t>Доля обучающихся по дополнительным общеобразовательным предпрофессиональным программам от общего количества обучающихся в учреждении</t>
  </si>
  <si>
    <t>Реализация дополнительных общеобразовательных предпрофессиональных программ в области искусств - духовые и ударные инструменты</t>
  </si>
  <si>
    <t>Реализация дополнительных общеобразовательных предпрофессиональных программ в области искусств - струнные инструменты</t>
  </si>
  <si>
    <t>Реализация дополнительных общеобразовательных предпрофессиональных программ в области искусств - народные инструменты</t>
  </si>
  <si>
    <t>Реализация дополнительных общеобразовательных предпрофессиональных программ в области искусств - инструменты эстрадного оркестра</t>
  </si>
  <si>
    <t>Доля обучающихся по дополнительным общеобразовательным общеразвивающим программам от общего количества обучающихся в учреждении</t>
  </si>
  <si>
    <t>муниципальное бюджетное учреждение дополнительного образования "Норильская детская художественная школа"</t>
  </si>
  <si>
    <t>Реализация дополнительных общеобразовательных предпрофессиональных программ в области искусств - живопись</t>
  </si>
  <si>
    <t>Реализация дополнительных общеобразовательных предпрофессиональных программ в области искусств - дизайн</t>
  </si>
  <si>
    <t>муниципальное бюджетное учреждение дополнительного образования "Норильская детская музыкальная школа"</t>
  </si>
  <si>
    <t>муниципальное бюджетное учреждение дополнительного образования "Кайерканская детская школа искусств"</t>
  </si>
  <si>
    <t>8.2.</t>
  </si>
  <si>
    <t xml:space="preserve">муниципальное бюджетное учреждение дополнительного образования  "Талнахская детская школа искусств" </t>
  </si>
  <si>
    <t>муниципальное бюджетное учреждение дополнительного образования "Оганерская детская школа искусств"</t>
  </si>
  <si>
    <t>единица</t>
  </si>
  <si>
    <t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интеллектуального потенциалов подростков и молодежи</t>
  </si>
  <si>
    <t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t>
  </si>
  <si>
    <t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t>
  </si>
  <si>
    <t>Организация досуга детей, подростков и молодежи 
(иная досуговая деятельность)</t>
  </si>
  <si>
    <t>Организация досуга детей, подростков и молодежи (общественные объединения)</t>
  </si>
  <si>
    <t xml:space="preserve">Укомплектование организации специалистами, оказывающими социальные услуги </t>
  </si>
  <si>
    <t>Выполнение планового объема работы автомобилей</t>
  </si>
  <si>
    <t>штука</t>
  </si>
  <si>
    <t xml:space="preserve">Машино-часы работы автомобилей </t>
  </si>
  <si>
    <t>Доля убранной территории от общей закрепленной площади</t>
  </si>
  <si>
    <t>Доля вывезенного снега от общего объема выпавшего снега</t>
  </si>
  <si>
    <t>Площадь  территории</t>
  </si>
  <si>
    <t>квадратный метр</t>
  </si>
  <si>
    <t>Осуществление издательской деятельности</t>
  </si>
  <si>
    <t>Выполнение планового объема работ по выпуску газеты в пересчете на 8-полосник формата А3</t>
  </si>
  <si>
    <t>Проведение тестирования выполнения нормативов испытаний (тестов) комплекса ГТО</t>
  </si>
  <si>
    <t>количество участников клубных формирований</t>
  </si>
  <si>
    <t>Количество выставок, смотров, конкурсов, проводимых культурно-досуговыми учреждениями (без киносеансов) на 1 тыс. населения</t>
  </si>
  <si>
    <t>Количество культурно-массовых мероприятий, проводимых культурно-досуговыми учреждениями (без киносеансов) на 1 тыс. населения</t>
  </si>
  <si>
    <t xml:space="preserve">Доля выданных коллегиальных заключений от общего числа обследованных </t>
  </si>
  <si>
    <t>Методическое обеспечение образовательной деятельности</t>
  </si>
  <si>
    <t>выставки, конкурсы, смотры</t>
  </si>
  <si>
    <t>иные зрелищные мероприятия</t>
  </si>
  <si>
    <t>Организация и проведение культурно-массовых мероприятий</t>
  </si>
  <si>
    <t>8.3.</t>
  </si>
  <si>
    <t>Наименование</t>
  </si>
  <si>
    <t>Муниципальное задание выполнено в полном объеме</t>
  </si>
  <si>
    <t>Муниципальное задание в целом выполнено</t>
  </si>
  <si>
    <t>Муниципальное задание не выполнено</t>
  </si>
  <si>
    <t>муниципальными бюджетными учреждениями, подведомственными МУ "Управление по делам культуры и искусства Администрации города Норильска"</t>
  </si>
  <si>
    <t>муниципальными бюджетными учреждениями, подведомственными МУ "Управление по спорту Администрации города Норильска"</t>
  </si>
  <si>
    <t>муниципальными бюджетными учреждениями, подведомственными "Управление общего и дошкольного образования Администрации города Норильска"</t>
  </si>
  <si>
    <t>о выполнении муниципального задания</t>
  </si>
  <si>
    <t xml:space="preserve">о выполнении муниципального задания </t>
  </si>
  <si>
    <t>о выполнении муниципальных заданий</t>
  </si>
  <si>
    <t>Динамика посещений пользователей библиотеки (реальных и удаленных) по сравнению с предыдущим годом</t>
  </si>
  <si>
    <t>Динамика обработки документов по сравнению с прошлым годом</t>
  </si>
  <si>
    <t>Количество музейных предметов основного Музейного фонда учреждения, опубликованных на экспозициях и выставках за отчетный период</t>
  </si>
  <si>
    <t>Средняя заполняемость кинотеатра</t>
  </si>
  <si>
    <t>Работа по формированию и учету фондов фильмофонда</t>
  </si>
  <si>
    <t>Количество участников мероприятий</t>
  </si>
  <si>
    <t>муниципальное бюджетное учреждение культуры "Городской центр культуры" с февраля 2018 года показатели вместе с ДК "Энергия"</t>
  </si>
  <si>
    <t>Динамика количества мероприятий</t>
  </si>
  <si>
    <t>Доля клубных формирований, имеющих звания "Народный", "Образцовый" к общему количеству клубных формирований</t>
  </si>
  <si>
    <t xml:space="preserve"> Количество участников мероприятий</t>
  </si>
  <si>
    <t xml:space="preserve">Число участников </t>
  </si>
  <si>
    <t>Организация и проведение культурно-массовых мероприятий творческих (фестиваль, выставка, конкурс, смотр )</t>
  </si>
  <si>
    <t>количество участников мероприятий</t>
  </si>
  <si>
    <t>Организация и проведение мероприятий - Культурно-массовых (услуга платная)</t>
  </si>
  <si>
    <t>Динамика количества участников</t>
  </si>
  <si>
    <t>Динамика количества участников клубных формирований к предыдущему отчетному периоду</t>
  </si>
  <si>
    <t>организация и проведение культурно-массовых мероприятий (иные зрелищные мероприятия)</t>
  </si>
  <si>
    <t>6.3.</t>
  </si>
  <si>
    <t>Организация мероприятий по подготовке спортивных сборных команд</t>
  </si>
  <si>
    <t>Удельный вес спортсменов принявших участие в официальных спортивных соревнованиях,  в их общей численности</t>
  </si>
  <si>
    <t>Муниципальное бюджетное учреждение "Дворец спорта "Арктика"</t>
  </si>
  <si>
    <t>Количество договоров</t>
  </si>
  <si>
    <t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</t>
  </si>
  <si>
    <t>Коэффициент удовлетворенности спортсменов, посетивших объекты спорта для проведения физкультурных мероприятий, спортивных мероприятий</t>
  </si>
  <si>
    <t>Обучающиеся за исключением обучающихся с ОВЗ и детей-инвалидов (от 3 до 8 лет)</t>
  </si>
  <si>
    <t>Дети-инвалиды (группа полного дня)</t>
  </si>
  <si>
    <t>Число обучающихся и родителей (законных представителей) педагогических работников</t>
  </si>
  <si>
    <t>Обучающиеся с ОВЗ и детей-инвалидов (от 3 до 8 лет)</t>
  </si>
  <si>
    <t>Обучающиеся за исключением обучающихся с ОВЗ и детей-инвалидов (от 1 до 3 лет)</t>
  </si>
  <si>
    <t>Физические лица за исключением льготных категорий (группа полного дня)</t>
  </si>
  <si>
    <t xml:space="preserve">чел. </t>
  </si>
  <si>
    <t>Физические лица за исключением льготных категорий (группа круглосуточного пребывания) (число детей)</t>
  </si>
  <si>
    <t xml:space="preserve">Физические лица за исключением льготных категорий </t>
  </si>
  <si>
    <t>Обучающиеся с ОВЗ  (от 3 до 8 лет)</t>
  </si>
  <si>
    <t>Обучающиеся с ОВЗ (от 3 до 8 лет)</t>
  </si>
  <si>
    <t>число обучающихся и родителей (законных представителей) педагогических работников</t>
  </si>
  <si>
    <t xml:space="preserve">Физические лица за исключением льготных категорий (группа круглосуточного пребывания) </t>
  </si>
  <si>
    <t>Физические лица за исключением льготных категорий</t>
  </si>
  <si>
    <t>Кол-во мероприятий (ед.)</t>
  </si>
  <si>
    <t>мастер-классы</t>
  </si>
  <si>
    <t>Общий отпечатанный тираж, в пересчете на 8-полосник формата А3, всего, в том числе:</t>
  </si>
  <si>
    <t>для льготных категорий граждан</t>
  </si>
  <si>
    <t xml:space="preserve"> - газета "Заполярная правда" всего, в том числе:</t>
  </si>
  <si>
    <t>1.2.1.</t>
  </si>
  <si>
    <t>Количество человек, вовлеченных в мероприятия</t>
  </si>
  <si>
    <t>Отсутствие обоснованных жалоб потребителей к качеству выполняемой работы</t>
  </si>
  <si>
    <t>4.7.</t>
  </si>
  <si>
    <t>Количество общественных объединений</t>
  </si>
  <si>
    <t>Число детей</t>
  </si>
  <si>
    <t>чел. /час.</t>
  </si>
  <si>
    <t>чел/час.</t>
  </si>
  <si>
    <t>чел./час.</t>
  </si>
  <si>
    <t>творческие (фестивали, выставки, конкурсы, смотры)</t>
  </si>
  <si>
    <t>культурно-массовые (иные зрелищные мероприятия)</t>
  </si>
  <si>
    <t>методические (семинар, конференция)</t>
  </si>
  <si>
    <t>Организация и проведение культурно-массовых мероприятий (творческих)</t>
  </si>
  <si>
    <t>ИТОГО</t>
  </si>
  <si>
    <t>Уборка территории и аналогичная деятельность</t>
  </si>
  <si>
    <t>не менее 70%</t>
  </si>
  <si>
    <t>не менее 40%</t>
  </si>
  <si>
    <t>Спортивная подготовка по олимпийским видам спорта 
спортивная борьба  (этап начальной подготовки)</t>
  </si>
  <si>
    <t xml:space="preserve">не более 0,05 </t>
  </si>
  <si>
    <t>Динамика количества экспозиций по сравнению с предыдущим годом</t>
  </si>
  <si>
    <t xml:space="preserve">Доля музейных предметов, прошедших консервацию (реставрацию), из числа выявленных музейных предметов для консервации (реставрации) </t>
  </si>
  <si>
    <t xml:space="preserve"> Доля оцифрованных музейных предметов из общего числа музейных предметов и коллекций</t>
  </si>
  <si>
    <t>Динамика количества участников клубных формирований к предыдущему периоду</t>
  </si>
  <si>
    <t xml:space="preserve">не более 0,5 </t>
  </si>
  <si>
    <t>человеко-час.</t>
  </si>
  <si>
    <t>Реализация дополнительных общеобразовательных предпрофессиональных программ в области искусств - искусство театра</t>
  </si>
  <si>
    <t>IX</t>
  </si>
  <si>
    <t>9.1.</t>
  </si>
  <si>
    <t>9.2.</t>
  </si>
  <si>
    <t>число человеко-часов пребывания</t>
  </si>
  <si>
    <t>в целом выполнено</t>
  </si>
  <si>
    <t xml:space="preserve">Отсутствие обоснованных жалоб потребителей к качеству выполняемой работы </t>
  </si>
  <si>
    <t xml:space="preserve">Доля фактического количества проведенных мероприятий </t>
  </si>
  <si>
    <t xml:space="preserve">Количество участников </t>
  </si>
  <si>
    <t xml:space="preserve">Выполнение запланированных мероприятий </t>
  </si>
  <si>
    <t xml:space="preserve">Количество общественных объединений </t>
  </si>
  <si>
    <t xml:space="preserve">Количество мероприятий, проводимых общественными объединениями </t>
  </si>
  <si>
    <r>
      <t>К</t>
    </r>
    <r>
      <rPr>
        <vertAlign val="subscript"/>
        <sz val="18"/>
        <color theme="1"/>
        <rFont val="Times New Roman"/>
        <family val="1"/>
        <charset val="204"/>
      </rPr>
      <t>1плi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</si>
  <si>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1фi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</si>
  <si>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</si>
  <si>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1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</si>
  <si>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2пл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</si>
  <si>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2ф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</si>
  <si>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2i</t>
    </r>
  </si>
  <si>
    <r>
      <t>К</t>
    </r>
    <r>
      <rPr>
        <vertAlign val="subscript"/>
        <sz val="18"/>
        <color theme="1"/>
        <rFont val="Times New Roman"/>
        <family val="1"/>
        <charset val="204"/>
      </rPr>
      <t>2</t>
    </r>
  </si>
  <si>
    <r>
      <t>ОЦ</t>
    </r>
    <r>
      <rPr>
        <vertAlign val="subscript"/>
        <sz val="18"/>
        <color theme="1"/>
        <rFont val="Times New Roman"/>
        <family val="1"/>
        <charset val="204"/>
      </rPr>
      <t>итоговая</t>
    </r>
  </si>
  <si>
    <t>обучающиеся за исключением обучающихся с ОВЗ и детей-инвалидов (от 3  до 8 лет)</t>
  </si>
  <si>
    <t>Снижение общей заболеваемости воспитанников, посещающих учреждения исполнителя услуги</t>
  </si>
  <si>
    <t xml:space="preserve">обучающиеся за исключением обучающихся с ОВЗ и детей-инвалидов (от 1  до 3 лет) </t>
  </si>
  <si>
    <t>Предоставление консультационных и методических услуг</t>
  </si>
  <si>
    <t>Реализация адаптированных дополнительных общеобразовательных программ</t>
  </si>
  <si>
    <t>доля родителей (ЗП), удовлетворенных качеством оказываемой услуги</t>
  </si>
  <si>
    <t>Реализация адаптированных дополнительных образовательных программ</t>
  </si>
  <si>
    <t>творческие (конференции, семинары)</t>
  </si>
  <si>
    <t>количество проведенных мероприятий  (выставки, конкурсы, смотры)</t>
  </si>
  <si>
    <t>количество проведенных культурно-массовых мероприятий (иные зрелищные мероприятия)</t>
  </si>
  <si>
    <t>количество проведенных мероприятий (конференции, семинары)</t>
  </si>
  <si>
    <t xml:space="preserve">II </t>
  </si>
  <si>
    <t>соответствует</t>
  </si>
  <si>
    <t>Доля родителей (ЗП), удовлетворенных условиями и качеством предоставляемой услуги</t>
  </si>
  <si>
    <t>Число 
обучающихся</t>
  </si>
  <si>
    <t>процент</t>
  </si>
  <si>
    <t xml:space="preserve">число обучающихся </t>
  </si>
  <si>
    <t xml:space="preserve">количество дней </t>
  </si>
  <si>
    <t>XI</t>
  </si>
  <si>
    <t>X</t>
  </si>
  <si>
    <t>10.1.</t>
  </si>
  <si>
    <t>МБУ и МАУ, подведомственные Управлению по делам культуры и искусства Администрации города Норильска 
(12 учреждений, из них: 6 учреждений культуры, 6 учреждений дополнительного образования)</t>
  </si>
  <si>
    <t>Организация мероприятий, направленных на профилактику асоциального поведения подростков и молодежи, поддержка детей и молодежи, находящейся в социально-опасном положении</t>
  </si>
  <si>
    <t xml:space="preserve">Количество спортсменов </t>
  </si>
  <si>
    <t>XII</t>
  </si>
  <si>
    <t>11.1.</t>
  </si>
  <si>
    <t>11.2.</t>
  </si>
  <si>
    <t>12.1.</t>
  </si>
  <si>
    <t>Реализация на объектах спорта физкультурных и спортивных мероприятий, проводимых в рамках утвержденных календарных планов официальных физкультурных мероприятий</t>
  </si>
  <si>
    <t>социально-педагогической направленности</t>
  </si>
  <si>
    <t>творческие (зрелищные, культурно-массовые)</t>
  </si>
  <si>
    <t>творческие (мастер-классы)</t>
  </si>
  <si>
    <t>обучающиеся за исключением обучающихся с ОВЗ и детей-инвалидов (от 1  до 3 лет)</t>
  </si>
  <si>
    <t>Дети с туберкулезной интоксикацией (группа круглосуточного пребывания) (число детей)</t>
  </si>
  <si>
    <t>Показ кинофильмов (услуга платная)</t>
  </si>
  <si>
    <t>Показ кинофильмов (услуга бесплатная)</t>
  </si>
  <si>
    <t>Оказание туристско-информационных услуг 
(в стационарных условиях)</t>
  </si>
  <si>
    <t>Количество предоставленной информации</t>
  </si>
  <si>
    <t>Оказание туристско-информационных услуг 
(вне стационара)</t>
  </si>
  <si>
    <t>муниципальным автономным учреждением «Центр развития туризма»</t>
  </si>
  <si>
    <t>Производство и распространение телепрограмм</t>
  </si>
  <si>
    <t>Размещение социально-значимых материалов (количество раз)      (не менее 1 (одного) раза в сутки)</t>
  </si>
  <si>
    <t>Самостоятельное формирование сетки вещания (не менее 24 часов в сутки)</t>
  </si>
  <si>
    <t>Распространение программ собственного производства (количество) (не менее 1 раза в сутки)</t>
  </si>
  <si>
    <t>Количество телепередач</t>
  </si>
  <si>
    <t>Интерпретация оценки по каждой услуге (работе)</t>
  </si>
  <si>
    <t>Интерпретация оценки по муниципальному заданию</t>
  </si>
  <si>
    <t>газета "Норильск сегодня"</t>
  </si>
  <si>
    <t xml:space="preserve"> - приложение "Важные бумаги" (публикация НПА Администрации города Норильска) всего, в том числе:</t>
  </si>
  <si>
    <t xml:space="preserve"> - газета "Норильск сегодня"</t>
  </si>
  <si>
    <t>час</t>
  </si>
  <si>
    <t xml:space="preserve">единица </t>
  </si>
  <si>
    <t>10.2.</t>
  </si>
  <si>
    <r>
      <t>Расчет оценки, К</t>
    </r>
    <r>
      <rPr>
        <b/>
        <vertAlign val="subscript"/>
        <sz val="13"/>
        <rFont val="Times New Roman"/>
        <family val="1"/>
        <charset val="204"/>
      </rPr>
      <t xml:space="preserve">1, </t>
    </r>
    <r>
      <rPr>
        <b/>
        <sz val="13"/>
        <rFont val="Times New Roman"/>
        <family val="1"/>
        <charset val="204"/>
      </rPr>
      <t>К</t>
    </r>
    <r>
      <rPr>
        <b/>
        <vertAlign val="subscript"/>
        <sz val="13"/>
        <rFont val="Times New Roman"/>
        <family val="1"/>
        <charset val="204"/>
      </rPr>
      <t>2</t>
    </r>
  </si>
  <si>
    <t>XIII</t>
  </si>
  <si>
    <t>13.1.</t>
  </si>
  <si>
    <t>Удельный вес спортсменов принявших участие в официальных спортивных соревнованиях, в их общей численности</t>
  </si>
  <si>
    <t>Доля обработанных документов</t>
  </si>
  <si>
    <t>Количество документов, находящихся в электронном каталоге</t>
  </si>
  <si>
    <t>Количество документов в фонде</t>
  </si>
  <si>
    <t>Доля отреставрированных фильмовых материалов от общего количества фильмокопий</t>
  </si>
  <si>
    <t>Организация и проведение культурно-массовых мероприятий (иные зрелищные мероприятия)</t>
  </si>
  <si>
    <t>Реализация дополнительных общеобразовательных предпрофессиональных программ в области искусств - хореографическое творчество</t>
  </si>
  <si>
    <t>Реализация дополнительных общеобразовательных общеразвивающих программ</t>
  </si>
  <si>
    <t>Реализация дополнительных общеобразовательных предпрофессиональных программ - хоровое пение</t>
  </si>
  <si>
    <t>не менее 15</t>
  </si>
  <si>
    <t>не более 0,5</t>
  </si>
  <si>
    <t>10.3.</t>
  </si>
  <si>
    <r>
      <t xml:space="preserve">Расчет оценки 
</t>
    </r>
    <r>
      <rPr>
        <b/>
        <i/>
        <sz val="16"/>
        <rFont val="Times New Roman"/>
        <family val="1"/>
        <charset val="204"/>
      </rPr>
      <t>К</t>
    </r>
    <r>
      <rPr>
        <b/>
        <i/>
        <vertAlign val="subscript"/>
        <sz val="16"/>
        <rFont val="Times New Roman"/>
        <family val="1"/>
        <charset val="204"/>
      </rPr>
      <t>1</t>
    </r>
    <r>
      <rPr>
        <b/>
        <i/>
        <sz val="16"/>
        <rFont val="Times New Roman"/>
        <family val="1"/>
        <charset val="204"/>
      </rPr>
      <t>, К</t>
    </r>
    <r>
      <rPr>
        <b/>
        <i/>
        <vertAlign val="subscript"/>
        <sz val="16"/>
        <rFont val="Times New Roman"/>
        <family val="1"/>
        <charset val="204"/>
      </rPr>
      <t>2</t>
    </r>
  </si>
  <si>
    <t xml:space="preserve"> художественная направленность </t>
  </si>
  <si>
    <t>3.1.1.</t>
  </si>
  <si>
    <t>3.1.2.</t>
  </si>
  <si>
    <t>3.1.3.</t>
  </si>
  <si>
    <t>культурно-массовые (зрелищные, культурно-массовые)</t>
  </si>
  <si>
    <t>туристско-краеведческая направленность</t>
  </si>
  <si>
    <t>2.1.1.</t>
  </si>
  <si>
    <t>Отсутствие обоснованных претензий потребителей к качеству предоставляемой работы</t>
  </si>
  <si>
    <t xml:space="preserve">обучающиеся с ОВЗ (от 3  до 8 лет) </t>
  </si>
  <si>
    <t>Расчет оценки       
     ,</t>
  </si>
  <si>
    <t>Доля педагогических работников, удовлетворенных условиями и качеством предоставляемой работы</t>
  </si>
  <si>
    <t>Психолого-медико-педагогическое обследование детей начальное общее образование</t>
  </si>
  <si>
    <t xml:space="preserve">Психолого-медико-педагогическое обследование детей основное общее образование </t>
  </si>
  <si>
    <t xml:space="preserve">Психолого-медико-педагогическое обследование детей среднее общее образование </t>
  </si>
  <si>
    <t>Психолого-медико-педагогическое обследование детей дошкольное общее образование</t>
  </si>
  <si>
    <t>Оказание туристско-информационных услуг 
(удаленно через сеть интернет)</t>
  </si>
  <si>
    <t>Организация и осуществление транспортного обслуживания должностных лиц, государственных органов и государственных учреждений Красноярского края, органов местного самоуправления и муниципальных учреждений Красноярского края, избирательных комиссий</t>
  </si>
  <si>
    <t>Дети-сироты и дети, оставшиеся без попечения родителей (группа полного дня)</t>
  </si>
  <si>
    <t xml:space="preserve">обучающиеся ОВЗ (от 3  до 8 лет) </t>
  </si>
  <si>
    <t>муниципальное бюджетное дошкольное образовательное учреждение "Детский сад № 4 "Колокольчик"</t>
  </si>
  <si>
    <t>муниципальное бюджетное дошкольное образовательное учреждение "Детский сад № 9 "Зимушка"</t>
  </si>
  <si>
    <t>муниципальное бюджетное дошкольное образовательное учреждение "Детский сад № 99 "Топ-топ"</t>
  </si>
  <si>
    <t>Уровень соответствия учебного плана требованиям ФГОС</t>
  </si>
  <si>
    <t>Число человек-часов</t>
  </si>
  <si>
    <t>Научно-методическое и ресурсное обеспечение системы образования</t>
  </si>
  <si>
    <t xml:space="preserve">6.1. </t>
  </si>
  <si>
    <t>Содержание детей на уровне начального общего образования</t>
  </si>
  <si>
    <t>Содержание детей на уровне основного общего образования</t>
  </si>
  <si>
    <t>Количество человек/часов художественная направленность</t>
  </si>
  <si>
    <t>Количество человек/часов социально-педагогическая направленность</t>
  </si>
  <si>
    <t>Организация мероприятий, направленных на профилактику асоциального и деструктивного поведения подростков и молодежи, поддержка детей и молодежи, находящейся в социально-опасном положении</t>
  </si>
  <si>
    <t>Количество человек/часов</t>
  </si>
  <si>
    <t>Количество человек/часов социально-педагогической направленности</t>
  </si>
  <si>
    <t>муниципальное бюджетное учреждение дополнительного образования "Станция детского и юношеского туризма и экскурсий"</t>
  </si>
  <si>
    <t>Доля охвата педагогических работников ОУ различными формами методического сопровождения (семинарские занятия, мастер-классы, выездные семинары, клубная деятельность, творческие группы педагогов, школьные команды в рамках реализации программы информатизации)</t>
  </si>
  <si>
    <t>Количество работ</t>
  </si>
  <si>
    <t>Отсутствие обоснованных претензий учредителя к организации предоставления работы</t>
  </si>
  <si>
    <t>МБУ и МАУ, подведомственные Управлению общего и дошкольного образования Администрации города Норильска 
(81 учреждение, из них: 38 детских садов, 29 среднеобразовательных школ, 6 гимназий, 1 лицей, 6 учреждений дополнительного образования, 1 методический центр)</t>
  </si>
  <si>
    <t>муниципальное бюджетное дошкольное образовательное учреждение "Детский сад № 62 "Почемучка"</t>
  </si>
  <si>
    <t>Количество обучающихся</t>
  </si>
  <si>
    <t>Муниципальное бюджетное учреждение "Дом спорта "БОКМО"</t>
  </si>
  <si>
    <t>Муниципальное бюджетное учреждение "Лыжная база "Оль-Гуль"</t>
  </si>
  <si>
    <t>Коэффициент удовлетворительности спортсменов, посетивших объекты спорта для проведения физкультурных мероприятий, спортивных мероприятий</t>
  </si>
  <si>
    <t>Муниципальное бюджетное учреждение "Спортивный комплекс "Кайеркан"</t>
  </si>
  <si>
    <t>Муниципальное бюджетное учреждение "Спортивный комплекс "Талнах"</t>
  </si>
  <si>
    <t>Муниципальное бюджетное учреждение "Стадион "Заполярник"</t>
  </si>
  <si>
    <t>Наименование учреждения</t>
  </si>
  <si>
    <t>Муниципальное бюджетное учреждение дополнительного образования «Спортивная школа № 1»</t>
  </si>
  <si>
    <t>Реализация дополнительных образовательных программ спортивной подготовки по олимпийским видам спорта 
Волейбол (этап начальной подготовки)</t>
  </si>
  <si>
    <t>Число лиц, прошедших спортивную подготовку на этапе спортивной подготовки и зачисленных на следующий этап спортивной подготовки по виду спорта</t>
  </si>
  <si>
    <t xml:space="preserve">Число лиц, прошедших спортивную подготовку на этапе спортивной подготовки </t>
  </si>
  <si>
    <t>Число лиц, прошедших спортивную подготовку, выполнивших требования федерального стандарта спортивной подготовки по соответствующему виду спорта, по результатам реализации дополнительных образовательных программ спортивной подготовки на этапе высшего спортивного мастерства</t>
  </si>
  <si>
    <t>-</t>
  </si>
  <si>
    <t>Реализация дополнительных образовательных программ спортивной подготовки по олимпийским видам спорта 
Волейбол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</si>
  <si>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Баскетбол (этап начальной подготовки)</t>
  </si>
  <si>
    <t>Реализация дополнительных образовательных программ спортивной подготовки по олимпийским видам спорта 
Баскетбол (учебно-тренировочный этап (этап спортивной специализации))</t>
  </si>
  <si>
    <t xml:space="preserve">Реализация дополнительных общеразвивающих программ </t>
  </si>
  <si>
    <t>Муниципальное бюджетное учреждение дополнительного образования «Спортивная школа № 2»</t>
  </si>
  <si>
    <t>Реализация дополнительных образовательных программ спортивной подготовки по олимпийским видам спорта 
Прыжки на батуте (этап начальной подготовки)</t>
  </si>
  <si>
    <t>Реализация дополнительных образовательных программ спортивной подготовки по олимпийским видам спорта 
Прыжки на батуте (учебно-тренировочный этап (этап спортивной специализации))
прыжки на батуте (тренировочный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</si>
  <si>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Спортивная гимнастика (учебно-тренировочный этап (этап спортивной специализации))</t>
  </si>
  <si>
    <t xml:space="preserve">Реализация дополнительных образовательных программ спортивной подготовки по олимпийским видам спорта 
Художественная гимнастика (этап начальной подготовки)
</t>
  </si>
  <si>
    <t>Реализация дополнительных образовательных программ спортивной подготовки по олимпийским видам спорта 
Художественная гимнастика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</si>
  <si>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Спортивная акробатика (этап начальной подготовки)</t>
  </si>
  <si>
    <t>Реализация дополнительных образовательных программ спортивной подготовки по неолимпийским видам спорта 
Спортивная акробатика (этап совершенствования спортивного мастерства)</t>
  </si>
  <si>
    <t>Организация физкультурно-спортивной работы по месту жительства граждан</t>
  </si>
  <si>
    <t>Муниципальное бюджетное учреждение дополнительного образования «Спортивная школа № 3»</t>
  </si>
  <si>
    <t>Реализация дополнительных образовательных программ спортивной подготовки по олимпийским видам спорта 
Лыжные гонки (этап начальной подготовки)</t>
  </si>
  <si>
    <t>Реализация дополнительных образовательных программ спортивной подготовки по олимпийским видам спорта 
Лыжные гонки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</si>
  <si>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Легкая атлетика (этап начальной подготовки)</t>
  </si>
  <si>
    <t>Реализация дополнительных образовательных программ спортивной подготовки по олимпийским видам спорта 
Легкая атлетика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</si>
  <si>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Фехтование (этап начальной подготовки)</t>
  </si>
  <si>
    <t>Реализация дополнительных образовательных программ спортивной подготовки по олимпийским видам спорта 
Фехтование (учебно-тренировочный этап (этап спортивной специализации))</t>
  </si>
  <si>
    <t>Муниципальное бюджетное учреждение дополнительного образования «Спортивная школа № 4»</t>
  </si>
  <si>
    <t xml:space="preserve">Реализация дополнительных образовательных программ спортивной подготовки по олимпийским видам спорта 
Прыжки на батуте (этап начальной подготовки)
</t>
  </si>
  <si>
    <t>Реализация дополнительных образовательных программ спортивной подготовки по олимпийским видам спорта 
Прыжки на батуте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</si>
  <si>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Бокс (этап начальной подготовки)</t>
  </si>
  <si>
    <t>Реализация дополнительных образовательных программ спортивной подготовки по олимпийским видам спорта 
Бокс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</si>
  <si>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Спортивная борьба (этап начальной подготовки)</t>
  </si>
  <si>
    <t>Реализация дополнительных образовательных программ спортивной подготовки по олимпийским видам спорта 
Спортивная борьба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</si>
  <si>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Плавание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</si>
  <si>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Тхэквондо ИТФ (учебно-тренировочный этап (этап спортивной специализации))</t>
  </si>
  <si>
    <t>Муниципальное бюджетное учреждение дополнительного образования «Спортивная школа № 5»</t>
  </si>
  <si>
    <t>Реализация дополнительных образовательных программ спортивной подготовки по олимпийским видам спорта 
Дзюдо (этап начальной подготовки)</t>
  </si>
  <si>
    <t>Реализация дополнительных образовательных программ спортивной подготовки по олимпийским видам спорта 
Дзюдо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</si>
  <si>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Пауэрлифтинг (этап начальной подготовки)</t>
  </si>
  <si>
    <t>Реализация дополнительных образовательных программ спортивной подготовки по неолимпийским видам спорта 
Пауэрлифтинг (учебно-тренировочный этап (этап спортивной специализации))</t>
  </si>
  <si>
    <t>Муниципальное бюджетное учреждение дополнительного образования «Спортивная школа № 6»</t>
  </si>
  <si>
    <t>Реализация дополнительных образовательных программ спортивной подготовки по олимпийским видам спорта 
Футбол (этап начальной подготовки)</t>
  </si>
  <si>
    <t>Реализация дополнительных образовательных программ спортивной подготовки по олимпийским видам спорта 
Футбол (учебно-тренировочный этап (этап спортивной специализации))</t>
  </si>
  <si>
    <t>Муниципальное бюджетное учреждение  дополнительного образования «Спортивная школа по зимним видам спорта»</t>
  </si>
  <si>
    <t>Реализация дополнительных образовательных программ спортивной подготовки по олимпийским видам спорта 
Хоккей (этап начальной подготовки)</t>
  </si>
  <si>
    <t>Реализация дополнительных образовательных программ спортивной подготовки по олимпийским видам спорта 
Хоккей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</si>
  <si>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олимпийским видам спорта 
Фигурное катание на коньках (этап начальной подготовки)</t>
  </si>
  <si>
    <t>Реализация дополнительных образовательных программ спортивной подготовки по олимпийским видам спорта 
Фигурное катание на коньках (учебно-тренировочный этап (этап спортивной специализации))</t>
  </si>
  <si>
    <t>Муниципальное бюджетное учреждение дополнительного образования "Спортивная школа плавания и водного поло"</t>
  </si>
  <si>
    <t>Реализация дополнительных образовательных программ спортивной подготовки по олимпийским видам спорта 
Плавание (этап начальной подготовки)</t>
  </si>
  <si>
    <t>Реализация дополнительных образовательных программ спортивной подготовки по олимпийским видам спорта 
Водное поло (этап начальной подготовки)</t>
  </si>
  <si>
    <t>Реализация дополнительных образовательных программ спортивной подготовки по олимпийским видам спорта 
Водное поло (учебно-тренировочный этап (этап спортивной специализации))</t>
  </si>
  <si>
    <t>Муниципальное бюджетное учреждение дополнительного образования «Спортивная школа единоборств»</t>
  </si>
  <si>
    <t>Реализация дополнительных образовательных программ спортивной подготовки по неолимпийским видам спорта 
Каратэ (этап начальной подготовки)</t>
  </si>
  <si>
    <t>Реализация дополнительных образовательных программ спортивной подготовки по неолимпийским видам спорта 
Каратэ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</si>
  <si>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Самбо (этап начальной подготовки)</t>
  </si>
  <si>
    <t>Реализация дополнительных образовательных программ спортивной подготовки по неолимпийским видам спорта 
Самбо (учебно-тренировочный этап (этап спортивной специализации))</t>
  </si>
  <si>
    <t>Реализация на объектах спорта физкультурных и спортивных мероприятий, проводимых в рамках утвержденных календарных планов официальных физкультурных и спортивных мероприятий</t>
  </si>
  <si>
    <t>Коэффициент удовлетворенности спортсменов посетивших объекты спорта для проведения физкультурных мероприятий, спортивных мероприятий</t>
  </si>
  <si>
    <t>Количество участников спортивных мероприятий</t>
  </si>
  <si>
    <t>Количество участников физкультурных мероприятий</t>
  </si>
  <si>
    <t>Реализация дополнительных общеобразовательных предпрофессиональных программ в области искусств - музыкальный фольклор</t>
  </si>
  <si>
    <t xml:space="preserve"> -</t>
  </si>
  <si>
    <t>Реализация дополнительных образовательных программ спортивной подготовки по олимпийским видам спорта 
Прыжки на батуте (этап совершенствования спортивного мастерства)</t>
  </si>
  <si>
    <t>Реализация дополнительных образовательных программ спортивной подготовки по олимпийским видам спорта 
Бокс (этап совершенствования спортивного мастерства)</t>
  </si>
  <si>
    <t>Полнота реализации ФФООПНОО</t>
  </si>
  <si>
    <t>Полнота реализации ФООПООО</t>
  </si>
  <si>
    <t>Полнота реализации ФООПСОО</t>
  </si>
  <si>
    <t>Полнота реализации ФООПНОО</t>
  </si>
  <si>
    <t>7.3.</t>
  </si>
  <si>
    <t>за 2024 г.</t>
  </si>
  <si>
    <t>Реализация дополнительных образовательных программ спортивной подготовки по олимпийским видам спорта 
Спортивная гимнастика (этап начальной подготовки)</t>
  </si>
  <si>
    <t>Реализация дополнительных образовательных программ спортивной подготовки по олимпийским видам спорта 
Спортивная гимнастика  (этап совершенствования спортивного мастерства)</t>
  </si>
  <si>
    <t>6.1</t>
  </si>
  <si>
    <t>7.1</t>
  </si>
  <si>
    <t>8.1</t>
  </si>
  <si>
    <t>Реализация дополнительных образовательных программ спортивной подготовки по неолимпийским видам спорта 
Спортивная акробатика (учебно-тренировочный этап (этап спортивной специализации))</t>
  </si>
  <si>
    <t>Реализация дополнительных образовательных программ спортивной подготовки по неолимпийским видам спорта 
Тхэквондо ИТФ  (этап начальной подготовки)</t>
  </si>
  <si>
    <t>11.2</t>
  </si>
  <si>
    <t>12.2</t>
  </si>
  <si>
    <t>XIV</t>
  </si>
  <si>
    <t>14.1.</t>
  </si>
  <si>
    <t>11.1</t>
  </si>
  <si>
    <t>12.1</t>
  </si>
  <si>
    <t>наличие обоснованных жалоб</t>
  </si>
  <si>
    <t>Количество фильмокопий</t>
  </si>
  <si>
    <t>не более                0,005</t>
  </si>
  <si>
    <t>5.1</t>
  </si>
  <si>
    <t>5.2</t>
  </si>
  <si>
    <t>Реализация дополнительных общеобразовательных предпрофессиональных программ в области искусств - хоровое пение</t>
  </si>
  <si>
    <t>6.2</t>
  </si>
  <si>
    <t>не более 85</t>
  </si>
  <si>
    <t>7.2</t>
  </si>
  <si>
    <t>7.3</t>
  </si>
  <si>
    <t>Реализация дополнительных общеобразовательных предпрофессиональных программ в области искусств - декоративно-прикладное творчество</t>
  </si>
  <si>
    <t>3.1</t>
  </si>
  <si>
    <t>3.2</t>
  </si>
  <si>
    <t>4.1</t>
  </si>
  <si>
    <t>4.2</t>
  </si>
  <si>
    <t>4.3</t>
  </si>
  <si>
    <t xml:space="preserve">выполнено в целом </t>
  </si>
  <si>
    <t xml:space="preserve">Муниципальное задание выполнено в полном объеме  </t>
  </si>
  <si>
    <t>МБУ и МАУ, подведомственные Управлению по спорту Администрации города Норильска 
(15 учреждений, из них: 9 спортивных школ, 6 спортивных сооружений)</t>
  </si>
  <si>
    <t xml:space="preserve"> за 2024 г.</t>
  </si>
  <si>
    <r>
      <t>К</t>
    </r>
    <r>
      <rPr>
        <vertAlign val="subscript"/>
        <sz val="13"/>
        <color indexed="8"/>
        <rFont val="Times New Roman"/>
        <family val="1"/>
        <charset val="204"/>
      </rPr>
      <t>1плi</t>
    </r>
  </si>
  <si>
    <r>
      <t>К</t>
    </r>
    <r>
      <rPr>
        <vertAlign val="subscript"/>
        <sz val="13"/>
        <color indexed="8"/>
        <rFont val="Times New Roman"/>
        <family val="1"/>
        <charset val="204"/>
      </rPr>
      <t>1фi</t>
    </r>
  </si>
  <si>
    <r>
      <t>К</t>
    </r>
    <r>
      <rPr>
        <vertAlign val="subscript"/>
        <sz val="13"/>
        <color indexed="8"/>
        <rFont val="Times New Roman"/>
        <family val="1"/>
        <charset val="204"/>
      </rPr>
      <t>1i</t>
    </r>
  </si>
  <si>
    <r>
      <t>К</t>
    </r>
    <r>
      <rPr>
        <vertAlign val="subscript"/>
        <sz val="13"/>
        <color indexed="8"/>
        <rFont val="Times New Roman"/>
        <family val="1"/>
        <charset val="204"/>
      </rPr>
      <t>1</t>
    </r>
  </si>
  <si>
    <r>
      <t>К</t>
    </r>
    <r>
      <rPr>
        <vertAlign val="subscript"/>
        <sz val="13"/>
        <color indexed="8"/>
        <rFont val="Times New Roman"/>
        <family val="1"/>
        <charset val="204"/>
      </rPr>
      <t>2пл</t>
    </r>
  </si>
  <si>
    <r>
      <t>К</t>
    </r>
    <r>
      <rPr>
        <vertAlign val="subscript"/>
        <sz val="13"/>
        <color indexed="8"/>
        <rFont val="Times New Roman"/>
        <family val="1"/>
        <charset val="204"/>
      </rPr>
      <t>2ф</t>
    </r>
  </si>
  <si>
    <r>
      <t>К</t>
    </r>
    <r>
      <rPr>
        <vertAlign val="subscript"/>
        <sz val="13"/>
        <color indexed="8"/>
        <rFont val="Times New Roman"/>
        <family val="1"/>
        <charset val="204"/>
      </rPr>
      <t>2i</t>
    </r>
  </si>
  <si>
    <r>
      <t>К</t>
    </r>
    <r>
      <rPr>
        <vertAlign val="subscript"/>
        <sz val="13"/>
        <color indexed="8"/>
        <rFont val="Times New Roman"/>
        <family val="1"/>
        <charset val="204"/>
      </rPr>
      <t>2</t>
    </r>
  </si>
  <si>
    <r>
      <t>ОЦ</t>
    </r>
    <r>
      <rPr>
        <vertAlign val="subscript"/>
        <sz val="13"/>
        <color indexed="8"/>
        <rFont val="Times New Roman"/>
        <family val="1"/>
        <charset val="204"/>
      </rPr>
      <t>итоговая</t>
    </r>
  </si>
  <si>
    <t>МБУ и МАУ, подведомственные Управлению дорожно-транспортной инфраструктуры Администрации города Норильска 
(2 учреждения, из них:  МБУ "Автохозяйство", МАУ ДО "Норильский центр безопасности движения")</t>
  </si>
  <si>
    <t xml:space="preserve">Муниципальное задание в целом выполнено </t>
  </si>
  <si>
    <t xml:space="preserve">в целом выполнено </t>
  </si>
  <si>
    <t>дети- инвалиды</t>
  </si>
  <si>
    <t>нет формулы!!!</t>
  </si>
  <si>
    <t>2.1.2.</t>
  </si>
  <si>
    <t>2.1.3.</t>
  </si>
  <si>
    <t>3.1.4.</t>
  </si>
  <si>
    <t>2.1.4.</t>
  </si>
  <si>
    <t>значения!!!</t>
  </si>
  <si>
    <t>нумерация!!!</t>
  </si>
  <si>
    <t>не менее 90%</t>
  </si>
  <si>
    <t>Доля детей, осваивающих дополнительные общеразвивающие программы в образовательном учреждении</t>
  </si>
  <si>
    <t>Количество человеко-час</t>
  </si>
  <si>
    <t>муниципальным автономным учреждением дополнительного образования "Норильский центр безопасности движения"</t>
  </si>
  <si>
    <t xml:space="preserve">не менее 90% </t>
  </si>
  <si>
    <t>Реализация основных профессиональных образовательных программ профессионального обучения – программ профессиональной подготовки по профессиям рабочих, должностям служащих</t>
  </si>
  <si>
    <t>МБУ и МАУ, подведомственные Администрации города Норильска 
(3 учреждения, из них:  МАУ "Центр развития туризма", МАУ "Информационный центр "Норильские новости", 
МБУ "Молодежный центр")</t>
  </si>
  <si>
    <t xml:space="preserve">Количество человек, вовлеченных в мероприятие </t>
  </si>
  <si>
    <t xml:space="preserve">Доля обучающихся, освоивших программы профессиональной подготовки по профессиям рабочих, должностям служащих в образовательном учреждении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</si>
</sst>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_р_._-;\-* #,##0_р_._-;_-* &quot;-&quot;_р_._-;_-@_-"/>
    <numFmt numFmtId="43" formatCode="_-* #,##0.00_р_._-;\-* #,##0.00_р_._-;_-* &quot;-&quot;??_р_._-;_-@_-"/>
    <numFmt numFmtId="164" formatCode="_-* #,##0.0_р_._-;\-* #,##0.0_р_._-;_-* &quot;-&quot;?_р_._-;_-@_-"/>
    <numFmt numFmtId="165" formatCode="0.0"/>
    <numFmt numFmtId="166" formatCode="_-* #,##0.0_р_._-;\-* #,##0.0_р_._-;_-* &quot;-&quot;_р_._-;_-@_-"/>
    <numFmt numFmtId="167" formatCode="_-* #,##0_р_._-;\-* #,##0_р_._-;_-* &quot;-&quot;??_р_._-;_-@_-"/>
    <numFmt numFmtId="168" formatCode="0.000"/>
    <numFmt numFmtId="169" formatCode="_-* #,##0_р_._-;\-* #,##0_р_._-;_-* &quot;-&quot;?_р_._-;_-@_-"/>
    <numFmt numFmtId="170" formatCode="#,##0_ ;\-#,##0\ "/>
    <numFmt numFmtId="171" formatCode="_-* #,##0.0_р_._-;\-* #,##0.0_р_._-;_-* &quot;-&quot;??_р_._-;_-@_-"/>
    <numFmt numFmtId="172" formatCode="#,##0.0_ ;\-#,##0.0\ "/>
    <numFmt numFmtId="173" formatCode="_-* #,##0.0\ _₽_-;\-* #,##0.0\ _₽_-;_-* &quot;-&quot;?\ _₽_-;_-@_-"/>
    <numFmt numFmtId="174" formatCode="#,##0.0"/>
    <numFmt numFmtId="175" formatCode="#,##0.00_ ;\-#,##0.00\ "/>
    <numFmt numFmtId="176" formatCode="#,##0.000_ ;\-#,##0.000\ "/>
  </numFmts>
  <fonts count="53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8"/>
      <name val="Times New Roman"/>
      <family val="1"/>
      <charset val="204"/>
    </font>
    <font>
      <sz val="13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vertAlign val="subscript"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3"/>
      <color theme="1"/>
      <name val="Times New Roman"/>
      <family val="1"/>
      <charset val="204"/>
    </font>
    <font>
      <b/>
      <u/>
      <sz val="13"/>
      <name val="Times New Roman"/>
      <family val="1"/>
      <charset val="204"/>
    </font>
    <font>
      <vertAlign val="subscript"/>
      <sz val="13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8"/>
      <color rgb="FF9C0006"/>
      <name val="Calibri"/>
      <family val="2"/>
      <charset val="204"/>
      <scheme val="minor"/>
    </font>
    <font>
      <b/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u/>
      <sz val="1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vertAlign val="subscript"/>
      <sz val="18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b/>
      <vertAlign val="subscript"/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vertAlign val="subscript"/>
      <sz val="16"/>
      <name val="Times New Roman"/>
      <family val="1"/>
      <charset val="204"/>
    </font>
    <font>
      <b/>
      <sz val="8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8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vertAlign val="subscript"/>
      <sz val="13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8"/>
      <color rgb="FFFF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9" fillId="0" borderId="0"/>
    <xf numFmtId="43" fontId="51" fillId="0" borderId="0" applyFont="0" applyFill="0" applyBorder="0" applyAlignment="0" applyProtection="0"/>
  </cellStyleXfs>
  <cellXfs count="696">
    <xf numFmtId="0" fontId="0" fillId="0" borderId="0" xfId="0"/>
    <xf numFmtId="0" fontId="1" fillId="0" borderId="0" xfId="0" applyFont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43" fontId="4" fillId="0" borderId="2" xfId="0" applyNumberFormat="1" applyFont="1" applyBorder="1" applyAlignment="1">
      <alignment horizontal="center" vertical="center"/>
    </xf>
    <xf numFmtId="43" fontId="4" fillId="3" borderId="2" xfId="0" applyNumberFormat="1" applyFont="1" applyFill="1" applyBorder="1" applyAlignment="1">
      <alignment horizontal="center" vertical="center"/>
    </xf>
    <xf numFmtId="0" fontId="9" fillId="0" borderId="0" xfId="0" applyFont="1"/>
    <xf numFmtId="41" fontId="4" fillId="0" borderId="2" xfId="0" applyNumberFormat="1" applyFont="1" applyBorder="1" applyAlignment="1">
      <alignment horizontal="center" vertical="center" wrapText="1"/>
    </xf>
    <xf numFmtId="41" fontId="4" fillId="0" borderId="2" xfId="0" applyNumberFormat="1" applyFont="1" applyFill="1" applyBorder="1" applyAlignment="1">
      <alignment horizontal="center" vertical="center" wrapText="1"/>
    </xf>
    <xf numFmtId="0" fontId="0" fillId="4" borderId="0" xfId="0" applyFill="1"/>
    <xf numFmtId="0" fontId="4" fillId="0" borderId="2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0" fillId="0" borderId="0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center" wrapText="1"/>
    </xf>
    <xf numFmtId="0" fontId="10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41" fontId="4" fillId="3" borderId="2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16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43" fontId="2" fillId="0" borderId="2" xfId="0" applyNumberFormat="1" applyFont="1" applyFill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/>
    </xf>
    <xf numFmtId="164" fontId="12" fillId="0" borderId="2" xfId="0" applyNumberFormat="1" applyFont="1" applyFill="1" applyBorder="1" applyAlignment="1">
      <alignment vertical="center" wrapText="1"/>
    </xf>
    <xf numFmtId="164" fontId="17" fillId="0" borderId="0" xfId="0" applyNumberFormat="1" applyFont="1"/>
    <xf numFmtId="164" fontId="17" fillId="0" borderId="0" xfId="0" applyNumberFormat="1" applyFont="1" applyAlignment="1">
      <alignment horizontal="center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22" fillId="0" borderId="0" xfId="0" applyFont="1" applyAlignment="1">
      <alignment horizontal="center"/>
    </xf>
    <xf numFmtId="0" fontId="2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vertical="center" wrapText="1"/>
    </xf>
    <xf numFmtId="0" fontId="2" fillId="0" borderId="2" xfId="0" applyNumberFormat="1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vertical="center" wrapText="1"/>
    </xf>
    <xf numFmtId="0" fontId="22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0" fillId="0" borderId="0" xfId="0" applyBorder="1"/>
    <xf numFmtId="0" fontId="3" fillId="0" borderId="0" xfId="0" applyFont="1" applyAlignment="1">
      <alignment horizontal="center" vertical="top" wrapText="1"/>
    </xf>
    <xf numFmtId="0" fontId="0" fillId="0" borderId="2" xfId="0" applyBorder="1"/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0" xfId="0" applyFont="1"/>
    <xf numFmtId="164" fontId="23" fillId="0" borderId="2" xfId="0" applyNumberFormat="1" applyFont="1" applyBorder="1" applyAlignment="1">
      <alignment vertical="center" wrapText="1"/>
    </xf>
    <xf numFmtId="0" fontId="26" fillId="0" borderId="0" xfId="0" applyFont="1" applyBorder="1"/>
    <xf numFmtId="0" fontId="26" fillId="0" borderId="0" xfId="0" applyFont="1" applyBorder="1" applyAlignment="1">
      <alignment horizontal="left" vertical="center"/>
    </xf>
    <xf numFmtId="164" fontId="26" fillId="0" borderId="0" xfId="0" applyNumberFormat="1" applyFont="1" applyBorder="1"/>
    <xf numFmtId="0" fontId="26" fillId="0" borderId="0" xfId="0" applyFont="1"/>
    <xf numFmtId="0" fontId="26" fillId="0" borderId="0" xfId="0" applyFont="1" applyAlignment="1">
      <alignment horizontal="left" vertical="center"/>
    </xf>
    <xf numFmtId="0" fontId="10" fillId="0" borderId="2" xfId="0" applyFont="1" applyBorder="1" applyAlignment="1">
      <alignment horizontal="center" vertical="center"/>
    </xf>
    <xf numFmtId="164" fontId="26" fillId="0" borderId="2" xfId="0" applyNumberFormat="1" applyFont="1" applyBorder="1" applyAlignment="1">
      <alignment wrapText="1"/>
    </xf>
    <xf numFmtId="0" fontId="2" fillId="0" borderId="2" xfId="0" applyFont="1" applyFill="1" applyBorder="1" applyAlignment="1">
      <alignment vertical="center" wrapText="1"/>
    </xf>
    <xf numFmtId="166" fontId="4" fillId="0" borderId="2" xfId="0" applyNumberFormat="1" applyFont="1" applyBorder="1" applyAlignment="1">
      <alignment horizontal="center" vertical="center" wrapText="1"/>
    </xf>
    <xf numFmtId="16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30" fillId="0" borderId="2" xfId="0" applyFont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1" fontId="4" fillId="3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3" borderId="2" xfId="0" applyFill="1" applyBorder="1"/>
    <xf numFmtId="43" fontId="2" fillId="3" borderId="2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wrapText="1"/>
    </xf>
    <xf numFmtId="164" fontId="2" fillId="0" borderId="2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/>
    <xf numFmtId="164" fontId="4" fillId="0" borderId="2" xfId="0" applyNumberFormat="1" applyFont="1" applyFill="1" applyBorder="1" applyAlignment="1">
      <alignment horizontal="center"/>
    </xf>
    <xf numFmtId="169" fontId="4" fillId="0" borderId="2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0" fontId="1" fillId="3" borderId="0" xfId="0" applyFont="1" applyFill="1" applyAlignment="1">
      <alignment horizontal="left" vertical="center" wrapText="1"/>
    </xf>
    <xf numFmtId="0" fontId="1" fillId="3" borderId="0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horizontal="center" vertical="top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top" wrapText="1"/>
    </xf>
    <xf numFmtId="164" fontId="12" fillId="3" borderId="2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43" fontId="2" fillId="3" borderId="2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 vertical="center"/>
    </xf>
    <xf numFmtId="1" fontId="4" fillId="2" borderId="2" xfId="0" applyNumberFormat="1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0" fillId="2" borderId="0" xfId="0" applyFill="1"/>
    <xf numFmtId="164" fontId="4" fillId="2" borderId="2" xfId="0" applyNumberFormat="1" applyFont="1" applyFill="1" applyBorder="1" applyAlignment="1">
      <alignment horizontal="center" vertical="center" wrapText="1"/>
    </xf>
    <xf numFmtId="0" fontId="0" fillId="6" borderId="0" xfId="0" applyFill="1"/>
    <xf numFmtId="1" fontId="2" fillId="2" borderId="2" xfId="0" applyNumberFormat="1" applyFont="1" applyFill="1" applyBorder="1" applyAlignment="1">
      <alignment horizontal="center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43" fontId="4" fillId="3" borderId="2" xfId="0" applyNumberFormat="1" applyFont="1" applyFill="1" applyBorder="1" applyAlignment="1">
      <alignment horizontal="center" vertical="center" wrapText="1"/>
    </xf>
    <xf numFmtId="164" fontId="36" fillId="0" borderId="0" xfId="0" applyNumberFormat="1" applyFont="1"/>
    <xf numFmtId="0" fontId="36" fillId="0" borderId="0" xfId="0" applyFont="1"/>
    <xf numFmtId="164" fontId="38" fillId="0" borderId="0" xfId="0" applyNumberFormat="1" applyFont="1"/>
    <xf numFmtId="0" fontId="38" fillId="0" borderId="0" xfId="0" applyFont="1"/>
    <xf numFmtId="0" fontId="34" fillId="0" borderId="2" xfId="0" applyFont="1" applyBorder="1" applyAlignment="1">
      <alignment horizontal="left" vertical="center" wrapText="1"/>
    </xf>
    <xf numFmtId="164" fontId="34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164" fontId="35" fillId="0" borderId="2" xfId="0" applyNumberFormat="1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left" vertical="center" wrapText="1"/>
    </xf>
    <xf numFmtId="43" fontId="36" fillId="0" borderId="2" xfId="0" applyNumberFormat="1" applyFont="1" applyFill="1" applyBorder="1" applyAlignment="1">
      <alignment horizontal="center" vertical="center"/>
    </xf>
    <xf numFmtId="0" fontId="35" fillId="0" borderId="2" xfId="0" applyNumberFormat="1" applyFont="1" applyFill="1" applyBorder="1" applyAlignment="1">
      <alignment horizontal="center" vertical="center" wrapText="1"/>
    </xf>
    <xf numFmtId="43" fontId="35" fillId="0" borderId="2" xfId="0" applyNumberFormat="1" applyFont="1" applyFill="1" applyBorder="1" applyAlignment="1">
      <alignment horizontal="center" vertical="center" wrapText="1"/>
    </xf>
    <xf numFmtId="0" fontId="34" fillId="3" borderId="2" xfId="0" applyFont="1" applyFill="1" applyBorder="1" applyAlignment="1">
      <alignment horizontal="center" vertical="center" wrapText="1"/>
    </xf>
    <xf numFmtId="164" fontId="40" fillId="0" borderId="0" xfId="0" applyNumberFormat="1" applyFont="1"/>
    <xf numFmtId="0" fontId="40" fillId="0" borderId="0" xfId="0" applyFont="1"/>
    <xf numFmtId="164" fontId="38" fillId="4" borderId="0" xfId="0" applyNumberFormat="1" applyFont="1" applyFill="1"/>
    <xf numFmtId="0" fontId="38" fillId="4" borderId="0" xfId="0" applyFont="1" applyFill="1"/>
    <xf numFmtId="0" fontId="34" fillId="4" borderId="0" xfId="0" applyFont="1" applyFill="1" applyBorder="1" applyAlignment="1">
      <alignment horizontal="center" vertical="center" wrapText="1"/>
    </xf>
    <xf numFmtId="0" fontId="38" fillId="3" borderId="0" xfId="0" applyFont="1" applyFill="1"/>
    <xf numFmtId="164" fontId="33" fillId="0" borderId="2" xfId="0" applyNumberFormat="1" applyFont="1" applyFill="1" applyBorder="1" applyAlignment="1">
      <alignment vertical="center" wrapText="1"/>
    </xf>
    <xf numFmtId="0" fontId="36" fillId="0" borderId="2" xfId="0" applyFont="1" applyBorder="1" applyAlignment="1">
      <alignment horizontal="left" vertical="center"/>
    </xf>
    <xf numFmtId="0" fontId="36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/>
    </xf>
    <xf numFmtId="164" fontId="36" fillId="0" borderId="2" xfId="0" applyNumberFormat="1" applyFont="1" applyFill="1" applyBorder="1" applyAlignment="1">
      <alignment horizontal="center" vertical="center"/>
    </xf>
    <xf numFmtId="164" fontId="35" fillId="0" borderId="2" xfId="0" applyNumberFormat="1" applyFont="1" applyFill="1" applyBorder="1" applyAlignment="1">
      <alignment horizontal="center" vertical="center"/>
    </xf>
    <xf numFmtId="16" fontId="35" fillId="0" borderId="2" xfId="0" applyNumberFormat="1" applyFont="1" applyBorder="1" applyAlignment="1">
      <alignment horizontal="center" vertical="center" wrapText="1"/>
    </xf>
    <xf numFmtId="0" fontId="34" fillId="3" borderId="2" xfId="0" applyFont="1" applyFill="1" applyBorder="1" applyAlignment="1">
      <alignment horizontal="left" vertical="center" wrapText="1"/>
    </xf>
    <xf numFmtId="164" fontId="33" fillId="3" borderId="2" xfId="0" applyNumberFormat="1" applyFont="1" applyFill="1" applyBorder="1" applyAlignment="1">
      <alignment vertical="center" wrapText="1"/>
    </xf>
    <xf numFmtId="0" fontId="36" fillId="3" borderId="2" xfId="0" applyFont="1" applyFill="1" applyBorder="1" applyAlignment="1">
      <alignment vertical="center" wrapText="1"/>
    </xf>
    <xf numFmtId="43" fontId="36" fillId="3" borderId="2" xfId="0" applyNumberFormat="1" applyFont="1" applyFill="1" applyBorder="1" applyAlignment="1">
      <alignment horizontal="center" vertical="center"/>
    </xf>
    <xf numFmtId="0" fontId="35" fillId="3" borderId="2" xfId="0" applyNumberFormat="1" applyFont="1" applyFill="1" applyBorder="1" applyAlignment="1">
      <alignment horizontal="center" vertical="center" wrapText="1"/>
    </xf>
    <xf numFmtId="43" fontId="35" fillId="3" borderId="2" xfId="0" applyNumberFormat="1" applyFont="1" applyFill="1" applyBorder="1" applyAlignment="1">
      <alignment horizontal="center" vertical="center" wrapText="1"/>
    </xf>
    <xf numFmtId="41" fontId="4" fillId="7" borderId="2" xfId="0" applyNumberFormat="1" applyFont="1" applyFill="1" applyBorder="1" applyAlignment="1">
      <alignment vertical="center" wrapText="1"/>
    </xf>
    <xf numFmtId="164" fontId="32" fillId="0" borderId="2" xfId="0" applyNumberFormat="1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164" fontId="33" fillId="0" borderId="2" xfId="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left" vertical="center" wrapText="1"/>
    </xf>
    <xf numFmtId="0" fontId="35" fillId="0" borderId="0" xfId="0" applyFont="1" applyFill="1" applyAlignment="1">
      <alignment horizontal="center" vertical="top" wrapText="1"/>
    </xf>
    <xf numFmtId="0" fontId="36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6" fillId="0" borderId="2" xfId="0" quotePrefix="1" applyFont="1" applyFill="1" applyBorder="1" applyAlignment="1">
      <alignment horizontal="center" vertical="center" wrapText="1"/>
    </xf>
    <xf numFmtId="41" fontId="0" fillId="0" borderId="2" xfId="0" applyNumberFormat="1" applyFill="1" applyBorder="1" applyAlignment="1">
      <alignment horizontal="center" vertical="center"/>
    </xf>
    <xf numFmtId="41" fontId="9" fillId="0" borderId="2" xfId="0" applyNumberFormat="1" applyFont="1" applyFill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 wrapText="1"/>
    </xf>
    <xf numFmtId="0" fontId="0" fillId="0" borderId="0" xfId="0" applyFill="1"/>
    <xf numFmtId="0" fontId="10" fillId="0" borderId="2" xfId="0" applyFont="1" applyBorder="1"/>
    <xf numFmtId="0" fontId="0" fillId="8" borderId="0" xfId="0" applyFill="1"/>
    <xf numFmtId="164" fontId="23" fillId="0" borderId="2" xfId="0" applyNumberFormat="1" applyFont="1" applyFill="1" applyBorder="1" applyAlignment="1">
      <alignment vertical="center" wrapText="1"/>
    </xf>
    <xf numFmtId="0" fontId="10" fillId="2" borderId="0" xfId="0" applyFont="1" applyFill="1"/>
    <xf numFmtId="0" fontId="2" fillId="2" borderId="5" xfId="0" applyFont="1" applyFill="1" applyBorder="1" applyAlignment="1">
      <alignment horizontal="left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1" fillId="3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1" fontId="4" fillId="3" borderId="2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2" borderId="2" xfId="0" applyFill="1" applyBorder="1"/>
    <xf numFmtId="0" fontId="4" fillId="2" borderId="2" xfId="0" applyNumberFormat="1" applyFont="1" applyFill="1" applyBorder="1" applyAlignment="1">
      <alignment horizontal="center" vertical="center" wrapText="1"/>
    </xf>
    <xf numFmtId="43" fontId="4" fillId="2" borderId="2" xfId="0" applyNumberFormat="1" applyFont="1" applyFill="1" applyBorder="1" applyAlignment="1">
      <alignment horizontal="center" vertical="center" wrapText="1"/>
    </xf>
    <xf numFmtId="0" fontId="0" fillId="4" borderId="0" xfId="0" applyFill="1" applyBorder="1"/>
    <xf numFmtId="170" fontId="4" fillId="0" borderId="2" xfId="0" applyNumberFormat="1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12" fillId="2" borderId="2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left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4" fillId="0" borderId="0" xfId="0" applyFont="1" applyBorder="1" applyAlignment="1">
      <alignment vertical="center" wrapText="1"/>
    </xf>
    <xf numFmtId="0" fontId="35" fillId="2" borderId="2" xfId="0" applyNumberFormat="1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left" vertical="center" wrapText="1"/>
    </xf>
    <xf numFmtId="0" fontId="35" fillId="2" borderId="2" xfId="0" applyFont="1" applyFill="1" applyBorder="1" applyAlignment="1">
      <alignment horizontal="center" vertical="center" wrapText="1"/>
    </xf>
    <xf numFmtId="1" fontId="35" fillId="2" borderId="2" xfId="0" applyNumberFormat="1" applyFont="1" applyFill="1" applyBorder="1" applyAlignment="1">
      <alignment horizontal="center" vertical="center" wrapText="1"/>
    </xf>
    <xf numFmtId="164" fontId="35" fillId="2" borderId="2" xfId="0" applyNumberFormat="1" applyFont="1" applyFill="1" applyBorder="1" applyAlignment="1">
      <alignment horizontal="center" vertical="center" wrapText="1"/>
    </xf>
    <xf numFmtId="164" fontId="34" fillId="2" borderId="2" xfId="0" applyNumberFormat="1" applyFont="1" applyFill="1" applyBorder="1" applyAlignment="1">
      <alignment horizontal="center" vertical="center" wrapText="1"/>
    </xf>
    <xf numFmtId="43" fontId="35" fillId="2" borderId="2" xfId="0" applyNumberFormat="1" applyFont="1" applyFill="1" applyBorder="1" applyAlignment="1">
      <alignment horizontal="center" vertical="center"/>
    </xf>
    <xf numFmtId="0" fontId="38" fillId="4" borderId="0" xfId="0" applyFont="1" applyFill="1" applyBorder="1"/>
    <xf numFmtId="170" fontId="35" fillId="0" borderId="2" xfId="0" applyNumberFormat="1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 wrapText="1"/>
    </xf>
    <xf numFmtId="164" fontId="36" fillId="0" borderId="0" xfId="0" applyNumberFormat="1" applyFont="1" applyFill="1" applyBorder="1" applyAlignment="1">
      <alignment vertical="center"/>
    </xf>
    <xf numFmtId="164" fontId="38" fillId="0" borderId="0" xfId="0" applyNumberFormat="1" applyFont="1" applyFill="1" applyBorder="1"/>
    <xf numFmtId="0" fontId="38" fillId="0" borderId="0" xfId="0" applyFont="1" applyFill="1" applyBorder="1"/>
    <xf numFmtId="0" fontId="33" fillId="0" borderId="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justify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justify" vertical="center" wrapText="1"/>
    </xf>
    <xf numFmtId="164" fontId="36" fillId="0" borderId="2" xfId="0" applyNumberFormat="1" applyFont="1" applyFill="1" applyBorder="1" applyAlignment="1">
      <alignment vertical="center"/>
    </xf>
    <xf numFmtId="0" fontId="46" fillId="0" borderId="2" xfId="0" applyFont="1" applyFill="1" applyBorder="1" applyAlignment="1">
      <alignment vertical="top" wrapText="1"/>
    </xf>
    <xf numFmtId="0" fontId="36" fillId="0" borderId="2" xfId="0" applyFont="1" applyFill="1" applyBorder="1" applyAlignment="1">
      <alignment horizontal="center"/>
    </xf>
    <xf numFmtId="0" fontId="30" fillId="0" borderId="2" xfId="0" quotePrefix="1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 wrapText="1"/>
    </xf>
    <xf numFmtId="173" fontId="2" fillId="0" borderId="2" xfId="0" applyNumberFormat="1" applyFont="1" applyFill="1" applyBorder="1" applyAlignment="1">
      <alignment horizontal="center" vertical="center" wrapText="1"/>
    </xf>
    <xf numFmtId="41" fontId="2" fillId="0" borderId="2" xfId="0" applyNumberFormat="1" applyFont="1" applyFill="1" applyBorder="1" applyAlignment="1">
      <alignment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0" fillId="0" borderId="3" xfId="0" applyBorder="1"/>
    <xf numFmtId="165" fontId="4" fillId="0" borderId="2" xfId="0" applyNumberFormat="1" applyFont="1" applyBorder="1" applyAlignment="1">
      <alignment horizontal="center" vertical="center" wrapText="1"/>
    </xf>
    <xf numFmtId="0" fontId="34" fillId="0" borderId="2" xfId="0" applyNumberFormat="1" applyFont="1" applyFill="1" applyBorder="1" applyAlignment="1">
      <alignment horizontal="center" vertical="center" wrapText="1"/>
    </xf>
    <xf numFmtId="43" fontId="35" fillId="0" borderId="2" xfId="0" applyNumberFormat="1" applyFont="1" applyFill="1" applyBorder="1" applyAlignment="1">
      <alignment horizontal="center" vertical="center"/>
    </xf>
    <xf numFmtId="164" fontId="38" fillId="0" borderId="0" xfId="0" applyNumberFormat="1" applyFont="1" applyFill="1"/>
    <xf numFmtId="0" fontId="38" fillId="0" borderId="0" xfId="0" applyFont="1" applyFill="1"/>
    <xf numFmtId="170" fontId="35" fillId="0" borderId="2" xfId="0" applyNumberFormat="1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vertical="top" wrapText="1"/>
    </xf>
    <xf numFmtId="41" fontId="2" fillId="0" borderId="2" xfId="0" applyNumberFormat="1" applyFont="1" applyFill="1" applyBorder="1" applyAlignment="1">
      <alignment horizontal="right" vertical="center" wrapText="1"/>
    </xf>
    <xf numFmtId="164" fontId="2" fillId="0" borderId="2" xfId="0" applyNumberFormat="1" applyFont="1" applyFill="1" applyBorder="1" applyAlignment="1">
      <alignment horizontal="right" vertical="center" wrapText="1"/>
    </xf>
    <xf numFmtId="165" fontId="10" fillId="0" borderId="2" xfId="0" applyNumberFormat="1" applyFont="1" applyFill="1" applyBorder="1" applyAlignment="1">
      <alignment horizontal="right" vertical="center" wrapText="1"/>
    </xf>
    <xf numFmtId="41" fontId="4" fillId="0" borderId="2" xfId="0" applyNumberFormat="1" applyFont="1" applyFill="1" applyBorder="1" applyAlignment="1">
      <alignment horizontal="right" vertical="center" wrapText="1"/>
    </xf>
    <xf numFmtId="175" fontId="4" fillId="0" borderId="2" xfId="0" applyNumberFormat="1" applyFont="1" applyFill="1" applyBorder="1" applyAlignment="1">
      <alignment horizontal="right" vertical="center" wrapText="1"/>
    </xf>
    <xf numFmtId="1" fontId="2" fillId="2" borderId="2" xfId="0" applyNumberFormat="1" applyFont="1" applyFill="1" applyBorder="1" applyAlignment="1">
      <alignment horizontal="right" vertical="center" wrapText="1"/>
    </xf>
    <xf numFmtId="43" fontId="2" fillId="2" borderId="2" xfId="0" applyNumberFormat="1" applyFont="1" applyFill="1" applyBorder="1" applyAlignment="1">
      <alignment horizontal="right" vertical="center" wrapText="1"/>
    </xf>
    <xf numFmtId="164" fontId="2" fillId="2" borderId="2" xfId="0" applyNumberFormat="1" applyFont="1" applyFill="1" applyBorder="1" applyAlignment="1">
      <alignment horizontal="right" vertical="center" wrapText="1"/>
    </xf>
    <xf numFmtId="3" fontId="10" fillId="0" borderId="2" xfId="0" applyNumberFormat="1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right" vertical="center" wrapText="1"/>
    </xf>
    <xf numFmtId="41" fontId="4" fillId="2" borderId="2" xfId="0" applyNumberFormat="1" applyFont="1" applyFill="1" applyBorder="1" applyAlignment="1">
      <alignment horizontal="right" vertical="center" wrapText="1"/>
    </xf>
    <xf numFmtId="166" fontId="4" fillId="0" borderId="2" xfId="0" applyNumberFormat="1" applyFont="1" applyFill="1" applyBorder="1" applyAlignment="1">
      <alignment horizontal="right" vertical="center" wrapText="1"/>
    </xf>
    <xf numFmtId="3" fontId="4" fillId="0" borderId="2" xfId="0" applyNumberFormat="1" applyFont="1" applyFill="1" applyBorder="1" applyAlignment="1">
      <alignment horizontal="right" vertical="center"/>
    </xf>
    <xf numFmtId="175" fontId="4" fillId="0" borderId="2" xfId="0" applyNumberFormat="1" applyFont="1" applyFill="1" applyBorder="1" applyAlignment="1">
      <alignment horizontal="right" vertical="center"/>
    </xf>
    <xf numFmtId="1" fontId="4" fillId="2" borderId="2" xfId="0" applyNumberFormat="1" applyFont="1" applyFill="1" applyBorder="1" applyAlignment="1">
      <alignment horizontal="right" vertical="center" wrapText="1"/>
    </xf>
    <xf numFmtId="164" fontId="4" fillId="2" borderId="2" xfId="0" applyNumberFormat="1" applyFont="1" applyFill="1" applyBorder="1" applyAlignment="1">
      <alignment horizontal="right" vertical="center" wrapText="1"/>
    </xf>
    <xf numFmtId="165" fontId="10" fillId="0" borderId="2" xfId="0" applyNumberFormat="1" applyFont="1" applyFill="1" applyBorder="1" applyAlignment="1">
      <alignment horizontal="right" vertical="center"/>
    </xf>
    <xf numFmtId="0" fontId="0" fillId="2" borderId="2" xfId="0" applyFill="1" applyBorder="1" applyAlignment="1">
      <alignment horizontal="right"/>
    </xf>
    <xf numFmtId="164" fontId="12" fillId="2" borderId="2" xfId="0" applyNumberFormat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>
      <alignment horizontal="right" vertical="center" wrapText="1"/>
    </xf>
    <xf numFmtId="3" fontId="4" fillId="2" borderId="2" xfId="0" applyNumberFormat="1" applyFont="1" applyFill="1" applyBorder="1" applyAlignment="1">
      <alignment horizontal="right" vertical="center"/>
    </xf>
    <xf numFmtId="0" fontId="4" fillId="0" borderId="2" xfId="0" applyNumberFormat="1" applyFont="1" applyFill="1" applyBorder="1" applyAlignment="1">
      <alignment horizontal="right" vertical="center" wrapText="1"/>
    </xf>
    <xf numFmtId="174" fontId="4" fillId="0" borderId="2" xfId="0" applyNumberFormat="1" applyFont="1" applyFill="1" applyBorder="1" applyAlignment="1">
      <alignment horizontal="right" vertical="center" wrapText="1"/>
    </xf>
    <xf numFmtId="172" fontId="4" fillId="0" borderId="2" xfId="0" applyNumberFormat="1" applyFont="1" applyFill="1" applyBorder="1" applyAlignment="1">
      <alignment horizontal="right" vertical="center" wrapText="1"/>
    </xf>
    <xf numFmtId="169" fontId="4" fillId="0" borderId="2" xfId="0" applyNumberFormat="1" applyFont="1" applyFill="1" applyBorder="1" applyAlignment="1">
      <alignment horizontal="right" vertical="center" wrapText="1"/>
    </xf>
    <xf numFmtId="174" fontId="4" fillId="0" borderId="2" xfId="0" applyNumberFormat="1" applyFont="1" applyFill="1" applyBorder="1" applyAlignment="1">
      <alignment horizontal="center" vertical="center" wrapText="1"/>
    </xf>
    <xf numFmtId="174" fontId="4" fillId="2" borderId="2" xfId="0" applyNumberFormat="1" applyFont="1" applyFill="1" applyBorder="1" applyAlignment="1">
      <alignment horizontal="center" vertical="center"/>
    </xf>
    <xf numFmtId="174" fontId="4" fillId="0" borderId="2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 wrapText="1"/>
    </xf>
    <xf numFmtId="0" fontId="1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164" fontId="19" fillId="0" borderId="2" xfId="0" applyNumberFormat="1" applyFont="1" applyFill="1" applyBorder="1" applyAlignment="1">
      <alignment vertical="center" wrapText="1"/>
    </xf>
    <xf numFmtId="0" fontId="10" fillId="0" borderId="7" xfId="0" applyFont="1" applyFill="1" applyBorder="1" applyAlignment="1">
      <alignment horizontal="center" vertical="center" wrapText="1"/>
    </xf>
    <xf numFmtId="164" fontId="20" fillId="0" borderId="2" xfId="0" applyNumberFormat="1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/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43" fontId="4" fillId="2" borderId="7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/>
    <xf numFmtId="43" fontId="4" fillId="2" borderId="7" xfId="0" applyNumberFormat="1" applyFont="1" applyFill="1" applyBorder="1" applyAlignment="1">
      <alignment horizontal="center" vertical="center"/>
    </xf>
    <xf numFmtId="164" fontId="27" fillId="0" borderId="2" xfId="0" applyNumberFormat="1" applyFont="1" applyFill="1" applyBorder="1" applyAlignment="1">
      <alignment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64" fontId="23" fillId="0" borderId="7" xfId="0" applyNumberFormat="1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 wrapText="1"/>
    </xf>
    <xf numFmtId="164" fontId="12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164" fontId="10" fillId="0" borderId="2" xfId="0" applyNumberFormat="1" applyFont="1" applyFill="1" applyBorder="1" applyAlignment="1">
      <alignment horizontal="center" vertical="center"/>
    </xf>
    <xf numFmtId="43" fontId="2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1" fillId="3" borderId="0" xfId="0" applyFont="1" applyFill="1" applyAlignment="1">
      <alignment horizontal="right" vertical="center" wrapText="1"/>
    </xf>
    <xf numFmtId="0" fontId="2" fillId="3" borderId="0" xfId="0" applyFont="1" applyFill="1" applyAlignment="1">
      <alignment horizontal="right" vertical="center" wrapText="1"/>
    </xf>
    <xf numFmtId="0" fontId="22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164" fontId="18" fillId="0" borderId="0" xfId="0" applyNumberFormat="1" applyFont="1" applyFill="1"/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1" fontId="0" fillId="2" borderId="2" xfId="0" applyNumberFormat="1" applyFill="1" applyBorder="1" applyAlignment="1">
      <alignment vertical="center"/>
    </xf>
    <xf numFmtId="164" fontId="0" fillId="2" borderId="2" xfId="0" applyNumberFormat="1" applyFill="1" applyBorder="1" applyAlignment="1">
      <alignment vertical="center"/>
    </xf>
    <xf numFmtId="164" fontId="0" fillId="0" borderId="2" xfId="0" applyNumberFormat="1" applyFill="1" applyBorder="1" applyAlignment="1">
      <alignment vertical="center"/>
    </xf>
    <xf numFmtId="164" fontId="0" fillId="3" borderId="2" xfId="0" applyNumberFormat="1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2" xfId="0" applyBorder="1" applyAlignment="1">
      <alignment horizontal="center"/>
    </xf>
    <xf numFmtId="41" fontId="9" fillId="0" borderId="2" xfId="0" applyNumberFormat="1" applyFont="1" applyBorder="1" applyAlignment="1">
      <alignment horizontal="center"/>
    </xf>
    <xf numFmtId="0" fontId="0" fillId="0" borderId="0" xfId="0" applyFill="1" applyAlignment="1">
      <alignment horizontal="center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Fill="1"/>
    <xf numFmtId="0" fontId="36" fillId="0" borderId="0" xfId="0" applyFont="1" applyFill="1"/>
    <xf numFmtId="0" fontId="36" fillId="0" borderId="0" xfId="0" applyFont="1" applyFill="1" applyAlignment="1">
      <alignment horizontal="left" vertical="center"/>
    </xf>
    <xf numFmtId="0" fontId="36" fillId="0" borderId="0" xfId="0" applyFont="1" applyFill="1" applyAlignment="1">
      <alignment horizontal="center" vertical="center"/>
    </xf>
    <xf numFmtId="164" fontId="36" fillId="0" borderId="0" xfId="0" applyNumberFormat="1" applyFont="1" applyFill="1" applyBorder="1"/>
    <xf numFmtId="0" fontId="35" fillId="0" borderId="0" xfId="0" applyFont="1" applyFill="1" applyAlignment="1">
      <alignment horizontal="center" vertical="center" wrapText="1"/>
    </xf>
    <xf numFmtId="0" fontId="34" fillId="0" borderId="0" xfId="0" applyFont="1" applyFill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top" wrapText="1"/>
    </xf>
    <xf numFmtId="0" fontId="2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67" fontId="35" fillId="3" borderId="2" xfId="0" applyNumberFormat="1" applyFont="1" applyFill="1" applyBorder="1" applyAlignment="1">
      <alignment horizontal="center" vertical="center" wrapText="1"/>
    </xf>
    <xf numFmtId="171" fontId="35" fillId="3" borderId="2" xfId="0" applyNumberFormat="1" applyFont="1" applyFill="1" applyBorder="1" applyAlignment="1">
      <alignment horizontal="center" vertical="center" wrapText="1"/>
    </xf>
    <xf numFmtId="164" fontId="34" fillId="3" borderId="2" xfId="0" applyNumberFormat="1" applyFont="1" applyFill="1" applyBorder="1" applyAlignment="1">
      <alignment vertical="center" wrapText="1"/>
    </xf>
    <xf numFmtId="164" fontId="48" fillId="4" borderId="0" xfId="0" applyNumberFormat="1" applyFont="1" applyFill="1"/>
    <xf numFmtId="0" fontId="48" fillId="4" borderId="0" xfId="0" applyFont="1" applyFill="1"/>
    <xf numFmtId="164" fontId="38" fillId="6" borderId="0" xfId="0" applyNumberFormat="1" applyFont="1" applyFill="1"/>
    <xf numFmtId="0" fontId="38" fillId="6" borderId="0" xfId="0" applyFont="1" applyFill="1"/>
    <xf numFmtId="164" fontId="38" fillId="2" borderId="0" xfId="0" applyNumberFormat="1" applyFont="1" applyFill="1"/>
    <xf numFmtId="0" fontId="38" fillId="2" borderId="0" xfId="0" applyFont="1" applyFill="1"/>
    <xf numFmtId="164" fontId="34" fillId="0" borderId="2" xfId="0" applyNumberFormat="1" applyFont="1" applyFill="1" applyBorder="1" applyAlignment="1">
      <alignment vertical="center" wrapText="1"/>
    </xf>
    <xf numFmtId="164" fontId="48" fillId="0" borderId="0" xfId="0" applyNumberFormat="1" applyFont="1" applyFill="1"/>
    <xf numFmtId="0" fontId="48" fillId="0" borderId="0" xfId="0" applyFont="1" applyFill="1"/>
    <xf numFmtId="164" fontId="38" fillId="9" borderId="0" xfId="0" applyNumberFormat="1" applyFont="1" applyFill="1"/>
    <xf numFmtId="0" fontId="38" fillId="9" borderId="0" xfId="0" applyFont="1" applyFill="1"/>
    <xf numFmtId="0" fontId="38" fillId="6" borderId="0" xfId="0" applyFont="1" applyFill="1" applyBorder="1"/>
    <xf numFmtId="0" fontId="34" fillId="0" borderId="2" xfId="0" applyFont="1" applyFill="1" applyBorder="1" applyAlignment="1">
      <alignment horizontal="left" vertical="top" wrapText="1"/>
    </xf>
    <xf numFmtId="0" fontId="35" fillId="0" borderId="2" xfId="0" applyFont="1" applyFill="1" applyBorder="1" applyAlignment="1">
      <alignment horizontal="left" vertical="top" wrapText="1"/>
    </xf>
    <xf numFmtId="0" fontId="33" fillId="3" borderId="2" xfId="0" applyFont="1" applyFill="1" applyBorder="1" applyAlignment="1">
      <alignment vertical="center" wrapText="1"/>
    </xf>
    <xf numFmtId="0" fontId="36" fillId="3" borderId="2" xfId="0" applyFont="1" applyFill="1" applyBorder="1"/>
    <xf numFmtId="164" fontId="34" fillId="0" borderId="0" xfId="0" applyNumberFormat="1" applyFont="1" applyFill="1" applyBorder="1" applyAlignment="1">
      <alignment horizontal="center" vertical="center" wrapText="1"/>
    </xf>
    <xf numFmtId="0" fontId="33" fillId="0" borderId="0" xfId="0" applyFont="1" applyFill="1" applyBorder="1"/>
    <xf numFmtId="0" fontId="36" fillId="0" borderId="0" xfId="0" applyFont="1" applyFill="1" applyBorder="1" applyAlignment="1">
      <alignment horizontal="left" vertical="center"/>
    </xf>
    <xf numFmtId="0" fontId="36" fillId="0" borderId="0" xfId="0" applyFont="1" applyFill="1" applyBorder="1"/>
    <xf numFmtId="0" fontId="36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4" fontId="12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65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5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Fill="1" applyBorder="1" applyAlignment="1">
      <alignment horizontal="right" vertical="center" wrapText="1"/>
    </xf>
    <xf numFmtId="2" fontId="4" fillId="0" borderId="2" xfId="0" applyNumberFormat="1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right" vertical="center" wrapText="1"/>
    </xf>
    <xf numFmtId="0" fontId="2" fillId="3" borderId="3" xfId="0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top" wrapText="1"/>
    </xf>
    <xf numFmtId="3" fontId="4" fillId="0" borderId="2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/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" fontId="4" fillId="2" borderId="5" xfId="0" applyNumberFormat="1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3" fontId="4" fillId="2" borderId="5" xfId="0" applyNumberFormat="1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 wrapText="1"/>
    </xf>
    <xf numFmtId="1" fontId="4" fillId="0" borderId="14" xfId="0" applyNumberFormat="1" applyFont="1" applyFill="1" applyBorder="1" applyAlignment="1">
      <alignment horizontal="center" vertical="center"/>
    </xf>
    <xf numFmtId="164" fontId="4" fillId="0" borderId="14" xfId="0" applyNumberFormat="1" applyFont="1" applyFill="1" applyBorder="1" applyAlignment="1">
      <alignment horizontal="center" vertical="center"/>
    </xf>
    <xf numFmtId="164" fontId="2" fillId="0" borderId="14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3" fontId="4" fillId="0" borderId="14" xfId="0" applyNumberFormat="1" applyFont="1" applyFill="1" applyBorder="1" applyAlignment="1">
      <alignment horizontal="center" vertical="center"/>
    </xf>
    <xf numFmtId="164" fontId="12" fillId="0" borderId="14" xfId="0" applyNumberFormat="1" applyFont="1" applyFill="1" applyBorder="1" applyAlignment="1">
      <alignment horizontal="center" vertical="center"/>
    </xf>
    <xf numFmtId="43" fontId="2" fillId="0" borderId="15" xfId="0" applyNumberFormat="1" applyFont="1" applyFill="1" applyBorder="1" applyAlignment="1">
      <alignment horizontal="center" vertical="center" wrapText="1"/>
    </xf>
    <xf numFmtId="0" fontId="4" fillId="0" borderId="21" xfId="0" applyNumberFormat="1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center" vertical="center" wrapText="1"/>
    </xf>
    <xf numFmtId="1" fontId="4" fillId="2" borderId="21" xfId="0" applyNumberFormat="1" applyFont="1" applyFill="1" applyBorder="1" applyAlignment="1">
      <alignment horizontal="center" vertical="center" wrapText="1"/>
    </xf>
    <xf numFmtId="164" fontId="4" fillId="2" borderId="21" xfId="0" applyNumberFormat="1" applyFont="1" applyFill="1" applyBorder="1" applyAlignment="1">
      <alignment horizontal="center" vertical="center" wrapText="1"/>
    </xf>
    <xf numFmtId="164" fontId="2" fillId="2" borderId="21" xfId="0" applyNumberFormat="1" applyFont="1" applyFill="1" applyBorder="1" applyAlignment="1">
      <alignment horizontal="center" vertical="center" wrapText="1"/>
    </xf>
    <xf numFmtId="49" fontId="4" fillId="2" borderId="21" xfId="0" applyNumberFormat="1" applyFont="1" applyFill="1" applyBorder="1" applyAlignment="1">
      <alignment horizontal="center" vertical="center" wrapText="1"/>
    </xf>
    <xf numFmtId="43" fontId="4" fillId="2" borderId="21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left" vertical="center" wrapText="1"/>
    </xf>
    <xf numFmtId="1" fontId="4" fillId="3" borderId="7" xfId="0" applyNumberFormat="1" applyFont="1" applyFill="1" applyBorder="1" applyAlignment="1">
      <alignment horizontal="center" vertical="center"/>
    </xf>
    <xf numFmtId="164" fontId="4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43" fontId="4" fillId="3" borderId="7" xfId="0" applyNumberFormat="1" applyFont="1" applyFill="1" applyBorder="1" applyAlignment="1">
      <alignment horizontal="center" vertical="center"/>
    </xf>
    <xf numFmtId="164" fontId="12" fillId="3" borderId="7" xfId="0" applyNumberFormat="1" applyFont="1" applyFill="1" applyBorder="1" applyAlignment="1">
      <alignment horizontal="center" vertical="center"/>
    </xf>
    <xf numFmtId="43" fontId="2" fillId="3" borderId="9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right" vertical="top" wrapText="1"/>
    </xf>
    <xf numFmtId="164" fontId="17" fillId="3" borderId="0" xfId="0" applyNumberFormat="1" applyFont="1" applyFill="1" applyBorder="1"/>
    <xf numFmtId="0" fontId="2" fillId="3" borderId="0" xfId="0" applyFont="1" applyFill="1" applyAlignment="1">
      <alignment horizontal="center" vertical="top" wrapText="1"/>
    </xf>
    <xf numFmtId="0" fontId="10" fillId="3" borderId="2" xfId="0" applyFont="1" applyFill="1" applyBorder="1" applyAlignment="1">
      <alignment horizontal="center" vertical="top" wrapText="1"/>
    </xf>
    <xf numFmtId="165" fontId="43" fillId="0" borderId="2" xfId="0" applyNumberFormat="1" applyFont="1" applyFill="1" applyBorder="1" applyAlignment="1">
      <alignment horizontal="right" vertical="center" wrapText="1"/>
    </xf>
    <xf numFmtId="176" fontId="4" fillId="0" borderId="2" xfId="0" applyNumberFormat="1" applyFont="1" applyFill="1" applyBorder="1" applyAlignment="1">
      <alignment horizontal="right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right"/>
    </xf>
    <xf numFmtId="0" fontId="20" fillId="3" borderId="0" xfId="0" applyFont="1" applyFill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7" fillId="0" borderId="0" xfId="0" applyFont="1" applyFill="1"/>
    <xf numFmtId="0" fontId="7" fillId="0" borderId="0" xfId="0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vertical="center" wrapText="1"/>
    </xf>
    <xf numFmtId="164" fontId="17" fillId="0" borderId="0" xfId="0" applyNumberFormat="1" applyFont="1" applyFill="1"/>
    <xf numFmtId="164" fontId="17" fillId="0" borderId="0" xfId="0" applyNumberFormat="1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0" fillId="0" borderId="0" xfId="0" applyFont="1" applyFill="1"/>
    <xf numFmtId="164" fontId="17" fillId="3" borderId="2" xfId="0" applyNumberFormat="1" applyFont="1" applyFill="1" applyBorder="1"/>
    <xf numFmtId="0" fontId="4" fillId="0" borderId="2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top" wrapText="1"/>
    </xf>
    <xf numFmtId="0" fontId="4" fillId="3" borderId="0" xfId="0" applyFont="1" applyFill="1" applyAlignment="1">
      <alignment vertical="center" wrapText="1"/>
    </xf>
    <xf numFmtId="0" fontId="10" fillId="3" borderId="0" xfId="0" applyFont="1" applyFill="1"/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 wrapText="1"/>
    </xf>
    <xf numFmtId="0" fontId="10" fillId="0" borderId="0" xfId="1" applyFont="1" applyAlignment="1">
      <alignment horizontal="center" vertical="top" wrapText="1"/>
    </xf>
    <xf numFmtId="0" fontId="49" fillId="0" borderId="0" xfId="1"/>
    <xf numFmtId="0" fontId="2" fillId="0" borderId="0" xfId="1" applyFont="1" applyAlignment="1">
      <alignment horizontal="center" vertical="center" wrapText="1"/>
    </xf>
    <xf numFmtId="0" fontId="2" fillId="0" borderId="0" xfId="1" applyFont="1" applyAlignment="1">
      <alignment horizontal="left" vertical="center" wrapText="1"/>
    </xf>
    <xf numFmtId="0" fontId="13" fillId="0" borderId="0" xfId="1" applyFont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2" fillId="0" borderId="0" xfId="1" applyFont="1" applyAlignment="1">
      <alignment horizontal="center"/>
    </xf>
    <xf numFmtId="41" fontId="2" fillId="0" borderId="2" xfId="1" applyNumberFormat="1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4" fillId="0" borderId="2" xfId="1" applyNumberFormat="1" applyFont="1" applyBorder="1" applyAlignment="1">
      <alignment horizontal="center" vertical="center" wrapText="1"/>
    </xf>
    <xf numFmtId="164" fontId="12" fillId="0" borderId="2" xfId="1" applyNumberFormat="1" applyFont="1" applyBorder="1" applyAlignment="1">
      <alignment vertical="center" wrapText="1"/>
    </xf>
    <xf numFmtId="164" fontId="2" fillId="3" borderId="2" xfId="1" applyNumberFormat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left" vertical="center" wrapText="1"/>
    </xf>
    <xf numFmtId="169" fontId="4" fillId="0" borderId="2" xfId="1" applyNumberFormat="1" applyFont="1" applyBorder="1" applyAlignment="1">
      <alignment horizontal="center" vertical="center" wrapText="1"/>
    </xf>
    <xf numFmtId="41" fontId="4" fillId="0" borderId="2" xfId="1" applyNumberFormat="1" applyFont="1" applyBorder="1" applyAlignment="1">
      <alignment horizontal="center" vertical="center" wrapText="1"/>
    </xf>
    <xf numFmtId="0" fontId="4" fillId="3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center" vertical="center" wrapText="1"/>
    </xf>
    <xf numFmtId="164" fontId="2" fillId="2" borderId="2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9" fillId="0" borderId="0" xfId="1" applyFont="1"/>
    <xf numFmtId="164" fontId="10" fillId="0" borderId="2" xfId="1" applyNumberFormat="1" applyFont="1" applyBorder="1" applyAlignment="1">
      <alignment vertical="center" wrapText="1"/>
    </xf>
    <xf numFmtId="16" fontId="4" fillId="0" borderId="2" xfId="1" applyNumberFormat="1" applyFont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167" fontId="4" fillId="0" borderId="2" xfId="1" applyNumberFormat="1" applyFont="1" applyBorder="1" applyAlignment="1">
      <alignment horizontal="center" vertical="center" wrapText="1"/>
    </xf>
    <xf numFmtId="164" fontId="28" fillId="0" borderId="0" xfId="1" applyNumberFormat="1" applyFont="1"/>
    <xf numFmtId="0" fontId="21" fillId="0" borderId="0" xfId="1" applyFont="1"/>
    <xf numFmtId="0" fontId="19" fillId="0" borderId="0" xfId="1" applyFont="1"/>
    <xf numFmtId="0" fontId="4" fillId="0" borderId="0" xfId="1" applyFont="1" applyAlignment="1">
      <alignment horizontal="justify" vertical="center" wrapText="1"/>
    </xf>
    <xf numFmtId="0" fontId="4" fillId="0" borderId="0" xfId="1" applyFont="1" applyAlignment="1">
      <alignment horizontal="center" vertical="center" wrapText="1"/>
    </xf>
    <xf numFmtId="0" fontId="10" fillId="0" borderId="0" xfId="1" applyFont="1"/>
    <xf numFmtId="0" fontId="10" fillId="0" borderId="0" xfId="1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5" fillId="0" borderId="0" xfId="0" applyFont="1" applyFill="1" applyBorder="1" applyAlignment="1">
      <alignment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vertical="center" wrapText="1"/>
    </xf>
    <xf numFmtId="0" fontId="34" fillId="0" borderId="0" xfId="0" applyFont="1" applyFill="1" applyAlignment="1">
      <alignment horizontal="center" vertical="center" wrapText="1"/>
    </xf>
    <xf numFmtId="0" fontId="35" fillId="3" borderId="2" xfId="0" applyFont="1" applyFill="1" applyBorder="1" applyAlignment="1">
      <alignment horizontal="center" vertical="center" wrapText="1"/>
    </xf>
    <xf numFmtId="164" fontId="34" fillId="3" borderId="2" xfId="0" applyNumberFormat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left" vertical="center" wrapText="1"/>
    </xf>
    <xf numFmtId="164" fontId="35" fillId="3" borderId="2" xfId="0" applyNumberFormat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left" vertical="center" wrapText="1"/>
    </xf>
    <xf numFmtId="0" fontId="34" fillId="0" borderId="0" xfId="0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38" fillId="5" borderId="0" xfId="0" applyFont="1" applyFill="1"/>
    <xf numFmtId="164" fontId="38" fillId="5" borderId="0" xfId="0" applyNumberFormat="1" applyFont="1" applyFill="1"/>
    <xf numFmtId="0" fontId="52" fillId="3" borderId="2" xfId="0" applyFont="1" applyFill="1" applyBorder="1" applyAlignment="1">
      <alignment horizontal="center" vertical="center" wrapText="1"/>
    </xf>
    <xf numFmtId="164" fontId="38" fillId="3" borderId="0" xfId="0" applyNumberFormat="1" applyFont="1" applyFill="1"/>
    <xf numFmtId="0" fontId="38" fillId="3" borderId="0" xfId="0" applyFont="1" applyFill="1" applyBorder="1"/>
    <xf numFmtId="0" fontId="38" fillId="10" borderId="0" xfId="0" applyFont="1" applyFill="1"/>
    <xf numFmtId="0" fontId="33" fillId="0" borderId="0" xfId="0" applyFont="1" applyFill="1" applyBorder="1" applyAlignment="1">
      <alignment horizontal="center"/>
    </xf>
    <xf numFmtId="0" fontId="35" fillId="0" borderId="0" xfId="0" applyNumberFormat="1" applyFont="1" applyFill="1" applyBorder="1" applyAlignment="1">
      <alignment horizontal="center" vertical="center" wrapText="1"/>
    </xf>
    <xf numFmtId="43" fontId="35" fillId="0" borderId="0" xfId="0" applyNumberFormat="1" applyFont="1" applyFill="1" applyBorder="1" applyAlignment="1">
      <alignment horizontal="center" vertical="center"/>
    </xf>
    <xf numFmtId="1" fontId="35" fillId="0" borderId="0" xfId="0" applyNumberFormat="1" applyFont="1" applyFill="1" applyBorder="1" applyAlignment="1">
      <alignment horizontal="center" vertical="center" wrapText="1"/>
    </xf>
    <xf numFmtId="164" fontId="35" fillId="0" borderId="0" xfId="0" applyNumberFormat="1" applyFont="1" applyFill="1" applyBorder="1" applyAlignment="1">
      <alignment horizontal="center" vertical="center" wrapText="1"/>
    </xf>
    <xf numFmtId="9" fontId="25" fillId="0" borderId="2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left" vertical="center" wrapText="1"/>
    </xf>
    <xf numFmtId="9" fontId="25" fillId="0" borderId="2" xfId="0" applyNumberFormat="1" applyFont="1" applyBorder="1" applyAlignment="1">
      <alignment horizontal="center" vertical="center" wrapText="1"/>
    </xf>
    <xf numFmtId="165" fontId="1" fillId="0" borderId="2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175" fontId="25" fillId="0" borderId="2" xfId="2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/>
    </xf>
    <xf numFmtId="41" fontId="0" fillId="0" borderId="2" xfId="0" applyNumberFormat="1" applyFill="1" applyBorder="1" applyAlignment="1">
      <alignment horizontal="right" vertical="center"/>
    </xf>
    <xf numFmtId="0" fontId="9" fillId="0" borderId="2" xfId="0" applyFont="1" applyFill="1" applyBorder="1" applyAlignment="1">
      <alignment horizontal="right" vertical="center" wrapText="1"/>
    </xf>
    <xf numFmtId="0" fontId="26" fillId="0" borderId="2" xfId="0" applyFont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6" fillId="0" borderId="2" xfId="0" quotePrefix="1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6" fillId="0" borderId="2" xfId="0" applyFont="1" applyBorder="1" applyAlignment="1">
      <alignment horizontal="left" vertical="center" wrapText="1"/>
    </xf>
    <xf numFmtId="4" fontId="25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9" fillId="0" borderId="0" xfId="1" applyFont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vertical="center" wrapText="1"/>
    </xf>
    <xf numFmtId="0" fontId="33" fillId="0" borderId="2" xfId="0" applyFont="1" applyFill="1" applyBorder="1" applyAlignment="1">
      <alignment horizontal="center" vertical="center"/>
    </xf>
    <xf numFmtId="164" fontId="33" fillId="2" borderId="2" xfId="0" applyNumberFormat="1" applyFont="1" applyFill="1" applyBorder="1" applyAlignment="1">
      <alignment horizontal="center" vertical="center" wrapText="1"/>
    </xf>
    <xf numFmtId="164" fontId="40" fillId="2" borderId="2" xfId="0" applyNumberFormat="1" applyFont="1" applyFill="1" applyBorder="1" applyAlignment="1">
      <alignment horizontal="center" vertical="center" wrapText="1"/>
    </xf>
    <xf numFmtId="0" fontId="34" fillId="2" borderId="2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0" borderId="0" xfId="0" applyFont="1" applyFill="1" applyAlignment="1">
      <alignment horizontal="center" vertical="top" wrapText="1"/>
    </xf>
    <xf numFmtId="164" fontId="35" fillId="3" borderId="5" xfId="0" applyNumberFormat="1" applyFont="1" applyFill="1" applyBorder="1" applyAlignment="1">
      <alignment horizontal="center" vertical="center" wrapText="1"/>
    </xf>
    <xf numFmtId="164" fontId="35" fillId="3" borderId="7" xfId="0" applyNumberFormat="1" applyFont="1" applyFill="1" applyBorder="1" applyAlignment="1">
      <alignment horizontal="center" vertical="center" wrapText="1"/>
    </xf>
    <xf numFmtId="164" fontId="33" fillId="3" borderId="5" xfId="0" applyNumberFormat="1" applyFont="1" applyFill="1" applyBorder="1" applyAlignment="1">
      <alignment horizontal="center" vertical="center" wrapText="1"/>
    </xf>
    <xf numFmtId="164" fontId="33" fillId="3" borderId="7" xfId="0" applyNumberFormat="1" applyFont="1" applyFill="1" applyBorder="1" applyAlignment="1">
      <alignment horizontal="center" vertical="center" wrapText="1"/>
    </xf>
    <xf numFmtId="164" fontId="34" fillId="3" borderId="5" xfId="0" applyNumberFormat="1" applyFont="1" applyFill="1" applyBorder="1" applyAlignment="1">
      <alignment horizontal="center" vertical="center" wrapText="1"/>
    </xf>
    <xf numFmtId="164" fontId="34" fillId="3" borderId="7" xfId="0" applyNumberFormat="1" applyFont="1" applyFill="1" applyBorder="1" applyAlignment="1">
      <alignment horizontal="center" vertical="center" wrapText="1"/>
    </xf>
    <xf numFmtId="0" fontId="35" fillId="3" borderId="5" xfId="0" applyFont="1" applyFill="1" applyBorder="1" applyAlignment="1">
      <alignment horizontal="center" vertical="center" wrapText="1"/>
    </xf>
    <xf numFmtId="0" fontId="35" fillId="3" borderId="7" xfId="0" applyFont="1" applyFill="1" applyBorder="1" applyAlignment="1">
      <alignment horizontal="center" vertical="center" wrapText="1"/>
    </xf>
    <xf numFmtId="0" fontId="35" fillId="0" borderId="5" xfId="0" applyNumberFormat="1" applyFont="1" applyFill="1" applyBorder="1" applyAlignment="1">
      <alignment horizontal="center" vertical="center" wrapText="1"/>
    </xf>
    <xf numFmtId="0" fontId="35" fillId="0" borderId="7" xfId="0" applyNumberFormat="1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center" vertical="center" wrapText="1"/>
    </xf>
    <xf numFmtId="0" fontId="35" fillId="3" borderId="5" xfId="0" applyNumberFormat="1" applyFont="1" applyFill="1" applyBorder="1" applyAlignment="1">
      <alignment horizontal="center" vertical="center" wrapText="1"/>
    </xf>
    <xf numFmtId="0" fontId="35" fillId="3" borderId="7" xfId="0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left" vertical="center" wrapText="1"/>
    </xf>
    <xf numFmtId="0" fontId="35" fillId="0" borderId="7" xfId="0" applyFont="1" applyFill="1" applyBorder="1" applyAlignment="1">
      <alignment horizontal="left" vertical="center" wrapText="1"/>
    </xf>
    <xf numFmtId="0" fontId="34" fillId="2" borderId="5" xfId="0" applyFont="1" applyFill="1" applyBorder="1" applyAlignment="1">
      <alignment horizontal="center" vertical="center" wrapText="1"/>
    </xf>
    <xf numFmtId="0" fontId="34" fillId="2" borderId="6" xfId="0" applyFont="1" applyFill="1" applyBorder="1" applyAlignment="1">
      <alignment horizontal="center" vertical="center" wrapText="1"/>
    </xf>
    <xf numFmtId="0" fontId="34" fillId="2" borderId="7" xfId="0" applyFont="1" applyFill="1" applyBorder="1" applyAlignment="1">
      <alignment horizontal="center" vertical="center" wrapText="1"/>
    </xf>
    <xf numFmtId="0" fontId="33" fillId="5" borderId="2" xfId="0" applyFont="1" applyFill="1" applyBorder="1" applyAlignment="1">
      <alignment horizontal="center" vertical="center"/>
    </xf>
    <xf numFmtId="0" fontId="33" fillId="5" borderId="2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2" xfId="0" applyFont="1" applyBorder="1" applyAlignment="1">
      <alignment horizontal="left" vertical="center" wrapText="1"/>
    </xf>
    <xf numFmtId="0" fontId="35" fillId="3" borderId="2" xfId="0" applyFont="1" applyFill="1" applyBorder="1" applyAlignment="1">
      <alignment horizontal="center" vertical="center" wrapText="1"/>
    </xf>
    <xf numFmtId="164" fontId="35" fillId="3" borderId="2" xfId="0" applyNumberFormat="1" applyFont="1" applyFill="1" applyBorder="1" applyAlignment="1">
      <alignment horizontal="center" vertical="center" wrapText="1"/>
    </xf>
    <xf numFmtId="164" fontId="34" fillId="3" borderId="2" xfId="0" applyNumberFormat="1" applyFont="1" applyFill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left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right"/>
    </xf>
    <xf numFmtId="0" fontId="33" fillId="0" borderId="0" xfId="0" applyFont="1" applyFill="1" applyBorder="1" applyAlignment="1">
      <alignment horizontal="center"/>
    </xf>
    <xf numFmtId="0" fontId="29" fillId="0" borderId="0" xfId="0" applyFont="1" applyAlignment="1">
      <alignment horizontal="right" vertical="center" wrapText="1"/>
    </xf>
    <xf numFmtId="0" fontId="29" fillId="0" borderId="1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right" vertical="center" wrapText="1"/>
    </xf>
    <xf numFmtId="0" fontId="0" fillId="3" borderId="2" xfId="0" applyFill="1" applyBorder="1" applyAlignment="1">
      <alignment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right" vertical="center" wrapText="1"/>
    </xf>
    <xf numFmtId="0" fontId="10" fillId="3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5" fontId="4" fillId="0" borderId="2" xfId="0" applyNumberFormat="1" applyFont="1" applyFill="1" applyBorder="1" applyAlignment="1">
      <alignment horizontal="right" vertical="center" wrapText="1"/>
    </xf>
    <xf numFmtId="164" fontId="12" fillId="0" borderId="2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3" fillId="2" borderId="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right" vertical="center" wrapText="1"/>
    </xf>
    <xf numFmtId="164" fontId="10" fillId="0" borderId="2" xfId="0" applyNumberFormat="1" applyFont="1" applyFill="1" applyBorder="1" applyAlignment="1">
      <alignment horizontal="center" wrapText="1"/>
    </xf>
    <xf numFmtId="0" fontId="31" fillId="0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2" fontId="4" fillId="0" borderId="2" xfId="0" applyNumberFormat="1" applyFont="1" applyFill="1" applyBorder="1" applyAlignment="1">
      <alignment horizontal="right" vertical="center" wrapText="1"/>
    </xf>
    <xf numFmtId="168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47" fillId="2" borderId="2" xfId="0" applyNumberFormat="1" applyFont="1" applyFill="1" applyBorder="1" applyAlignment="1">
      <alignment horizontal="center" vertical="center" wrapText="1"/>
    </xf>
    <xf numFmtId="0" fontId="42" fillId="2" borderId="2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top" wrapText="1"/>
    </xf>
    <xf numFmtId="0" fontId="2" fillId="0" borderId="7" xfId="0" applyFont="1" applyFill="1" applyBorder="1" applyAlignment="1">
      <alignment horizontal="center" vertical="top" wrapText="1"/>
    </xf>
    <xf numFmtId="0" fontId="42" fillId="2" borderId="8" xfId="0" applyFont="1" applyFill="1" applyBorder="1" applyAlignment="1">
      <alignment horizontal="center" vertical="center" wrapText="1"/>
    </xf>
    <xf numFmtId="0" fontId="42" fillId="0" borderId="10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left" vertical="top" wrapText="1"/>
    </xf>
    <xf numFmtId="0" fontId="23" fillId="2" borderId="6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top" wrapText="1"/>
    </xf>
    <xf numFmtId="0" fontId="2" fillId="0" borderId="20" xfId="0" applyFont="1" applyFill="1" applyBorder="1" applyAlignment="1">
      <alignment horizontal="center" vertical="top" wrapText="1"/>
    </xf>
    <xf numFmtId="0" fontId="23" fillId="2" borderId="16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 wrapText="1"/>
    </xf>
    <xf numFmtId="0" fontId="42" fillId="2" borderId="5" xfId="0" applyFont="1" applyFill="1" applyBorder="1" applyAlignment="1">
      <alignment horizontal="center" vertical="center" wrapText="1"/>
    </xf>
    <xf numFmtId="0" fontId="42" fillId="2" borderId="6" xfId="0" applyFont="1" applyFill="1" applyBorder="1" applyAlignment="1">
      <alignment horizontal="center" vertical="center" wrapText="1"/>
    </xf>
    <xf numFmtId="0" fontId="42" fillId="2" borderId="7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wmf"/><Relationship Id="rId1" Type="http://schemas.openxmlformats.org/officeDocument/2006/relationships/image" Target="../media/image2.w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1352550</xdr:colOff>
      <xdr:row>16</xdr:row>
      <xdr:rowOff>0</xdr:rowOff>
    </xdr:from>
    <xdr:to>
      <xdr:col>1</xdr:col>
      <xdr:colOff>1543050</xdr:colOff>
      <xdr:row>16</xdr:row>
      <xdr:rowOff>0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38375" y="52959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1971675</xdr:colOff>
      <xdr:row>16</xdr:row>
      <xdr:rowOff>0</xdr:rowOff>
    </xdr:from>
    <xdr:to>
      <xdr:col>1</xdr:col>
      <xdr:colOff>2190750</xdr:colOff>
      <xdr:row>16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00" y="5295900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14</xdr:row>
      <xdr:rowOff>228600</xdr:rowOff>
    </xdr:from>
    <xdr:to>
      <xdr:col>1</xdr:col>
      <xdr:colOff>260350</xdr:colOff>
      <xdr:row>14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705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14</xdr:row>
      <xdr:rowOff>231775</xdr:rowOff>
    </xdr:from>
    <xdr:to>
      <xdr:col>1</xdr:col>
      <xdr:colOff>539750</xdr:colOff>
      <xdr:row>14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706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14</xdr:row>
      <xdr:rowOff>228600</xdr:rowOff>
    </xdr:from>
    <xdr:to>
      <xdr:col>8</xdr:col>
      <xdr:colOff>260350</xdr:colOff>
      <xdr:row>14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42325" y="705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14</xdr:row>
      <xdr:rowOff>231775</xdr:rowOff>
    </xdr:from>
    <xdr:to>
      <xdr:col>8</xdr:col>
      <xdr:colOff>539750</xdr:colOff>
      <xdr:row>14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3150" y="706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19</xdr:row>
      <xdr:rowOff>228600</xdr:rowOff>
    </xdr:from>
    <xdr:to>
      <xdr:col>1</xdr:col>
      <xdr:colOff>260350</xdr:colOff>
      <xdr:row>19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1097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19</xdr:row>
      <xdr:rowOff>231775</xdr:rowOff>
    </xdr:from>
    <xdr:to>
      <xdr:col>1</xdr:col>
      <xdr:colOff>539750</xdr:colOff>
      <xdr:row>19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1097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19</xdr:row>
      <xdr:rowOff>228600</xdr:rowOff>
    </xdr:from>
    <xdr:to>
      <xdr:col>8</xdr:col>
      <xdr:colOff>260350</xdr:colOff>
      <xdr:row>19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42325" y="10972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19</xdr:row>
      <xdr:rowOff>231775</xdr:rowOff>
    </xdr:from>
    <xdr:to>
      <xdr:col>8</xdr:col>
      <xdr:colOff>539750</xdr:colOff>
      <xdr:row>19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93150" y="10975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15</xdr:row>
      <xdr:rowOff>279400</xdr:rowOff>
    </xdr:from>
    <xdr:to>
      <xdr:col>1</xdr:col>
      <xdr:colOff>196850</xdr:colOff>
      <xdr:row>15</xdr:row>
      <xdr:rowOff>498475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11242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295275</xdr:colOff>
      <xdr:row>15</xdr:row>
      <xdr:rowOff>257175</xdr:rowOff>
    </xdr:from>
    <xdr:to>
      <xdr:col>1</xdr:col>
      <xdr:colOff>514350</xdr:colOff>
      <xdr:row>15</xdr:row>
      <xdr:rowOff>476250</xdr:rowOff>
    </xdr:to>
    <xdr:pic>
      <xdr:nvPicPr>
        <xdr:cNvPr id="3" name="Picture 1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90600" y="11220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6350</xdr:colOff>
      <xdr:row>15</xdr:row>
      <xdr:rowOff>279400</xdr:rowOff>
    </xdr:from>
    <xdr:to>
      <xdr:col>1</xdr:col>
      <xdr:colOff>196850</xdr:colOff>
      <xdr:row>15</xdr:row>
      <xdr:rowOff>498475</xdr:rowOff>
    </xdr:to>
    <xdr:pic>
      <xdr:nvPicPr>
        <xdr:cNvPr id="4" name="Picture 1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1675" y="11242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15</xdr:row>
      <xdr:rowOff>228600</xdr:rowOff>
    </xdr:from>
    <xdr:to>
      <xdr:col>8</xdr:col>
      <xdr:colOff>260350</xdr:colOff>
      <xdr:row>15</xdr:row>
      <xdr:rowOff>447675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705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15</xdr:row>
      <xdr:rowOff>231775</xdr:rowOff>
    </xdr:from>
    <xdr:to>
      <xdr:col>8</xdr:col>
      <xdr:colOff>539750</xdr:colOff>
      <xdr:row>15</xdr:row>
      <xdr:rowOff>450850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706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19</xdr:row>
      <xdr:rowOff>228600</xdr:rowOff>
    </xdr:from>
    <xdr:to>
      <xdr:col>8</xdr:col>
      <xdr:colOff>260350</xdr:colOff>
      <xdr:row>19</xdr:row>
      <xdr:rowOff>447675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450" y="7058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19</xdr:row>
      <xdr:rowOff>231775</xdr:rowOff>
    </xdr:from>
    <xdr:to>
      <xdr:col>8</xdr:col>
      <xdr:colOff>539750</xdr:colOff>
      <xdr:row>19</xdr:row>
      <xdr:rowOff>450850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30275" y="706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66841</xdr:colOff>
      <xdr:row>24</xdr:row>
      <xdr:rowOff>453522</xdr:rowOff>
    </xdr:from>
    <xdr:to>
      <xdr:col>1</xdr:col>
      <xdr:colOff>250658</xdr:colOff>
      <xdr:row>24</xdr:row>
      <xdr:rowOff>664911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8683" y="15476285"/>
          <a:ext cx="183817" cy="211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354096</xdr:colOff>
      <xdr:row>24</xdr:row>
      <xdr:rowOff>432301</xdr:rowOff>
    </xdr:from>
    <xdr:to>
      <xdr:col>1</xdr:col>
      <xdr:colOff>573171</xdr:colOff>
      <xdr:row>24</xdr:row>
      <xdr:rowOff>651376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5938" y="1545506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66841</xdr:colOff>
      <xdr:row>24</xdr:row>
      <xdr:rowOff>453522</xdr:rowOff>
    </xdr:from>
    <xdr:to>
      <xdr:col>8</xdr:col>
      <xdr:colOff>250658</xdr:colOff>
      <xdr:row>24</xdr:row>
      <xdr:rowOff>664911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8683" y="15476285"/>
          <a:ext cx="183817" cy="211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354096</xdr:colOff>
      <xdr:row>24</xdr:row>
      <xdr:rowOff>432301</xdr:rowOff>
    </xdr:from>
    <xdr:to>
      <xdr:col>8</xdr:col>
      <xdr:colOff>573171</xdr:colOff>
      <xdr:row>24</xdr:row>
      <xdr:rowOff>651376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5938" y="1545506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66842</xdr:colOff>
      <xdr:row>19</xdr:row>
      <xdr:rowOff>317499</xdr:rowOff>
    </xdr:from>
    <xdr:to>
      <xdr:col>1</xdr:col>
      <xdr:colOff>508188</xdr:colOff>
      <xdr:row>19</xdr:row>
      <xdr:rowOff>550610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8684" y="11095788"/>
          <a:ext cx="441346" cy="233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354096</xdr:colOff>
      <xdr:row>19</xdr:row>
      <xdr:rowOff>300791</xdr:rowOff>
    </xdr:from>
    <xdr:to>
      <xdr:col>1</xdr:col>
      <xdr:colOff>805844</xdr:colOff>
      <xdr:row>20</xdr:row>
      <xdr:rowOff>4679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5938" y="11079080"/>
          <a:ext cx="451748" cy="255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66841</xdr:colOff>
      <xdr:row>28</xdr:row>
      <xdr:rowOff>330625</xdr:rowOff>
    </xdr:from>
    <xdr:to>
      <xdr:col>8</xdr:col>
      <xdr:colOff>417763</xdr:colOff>
      <xdr:row>29</xdr:row>
      <xdr:rowOff>3844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05920" y="19597862"/>
          <a:ext cx="350922" cy="2580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354096</xdr:colOff>
      <xdr:row>28</xdr:row>
      <xdr:rowOff>337197</xdr:rowOff>
    </xdr:from>
    <xdr:to>
      <xdr:col>8</xdr:col>
      <xdr:colOff>701842</xdr:colOff>
      <xdr:row>29</xdr:row>
      <xdr:rowOff>9359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893175" y="19604434"/>
          <a:ext cx="347746" cy="257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116973</xdr:colOff>
      <xdr:row>28</xdr:row>
      <xdr:rowOff>334210</xdr:rowOff>
    </xdr:from>
    <xdr:to>
      <xdr:col>1</xdr:col>
      <xdr:colOff>463020</xdr:colOff>
      <xdr:row>29</xdr:row>
      <xdr:rowOff>3844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8815" y="19601447"/>
          <a:ext cx="346047" cy="254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354097</xdr:colOff>
      <xdr:row>28</xdr:row>
      <xdr:rowOff>337196</xdr:rowOff>
    </xdr:from>
    <xdr:to>
      <xdr:col>1</xdr:col>
      <xdr:colOff>701843</xdr:colOff>
      <xdr:row>29</xdr:row>
      <xdr:rowOff>9358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5939" y="19604433"/>
          <a:ext cx="347746" cy="257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66841</xdr:colOff>
      <xdr:row>38</xdr:row>
      <xdr:rowOff>374754</xdr:rowOff>
    </xdr:from>
    <xdr:to>
      <xdr:col>1</xdr:col>
      <xdr:colOff>334211</xdr:colOff>
      <xdr:row>38</xdr:row>
      <xdr:rowOff>626811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8683" y="26075543"/>
          <a:ext cx="267370" cy="252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354096</xdr:colOff>
      <xdr:row>38</xdr:row>
      <xdr:rowOff>330077</xdr:rowOff>
    </xdr:from>
    <xdr:to>
      <xdr:col>1</xdr:col>
      <xdr:colOff>685132</xdr:colOff>
      <xdr:row>38</xdr:row>
      <xdr:rowOff>632327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5938" y="26030866"/>
          <a:ext cx="331036" cy="30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116972</xdr:colOff>
      <xdr:row>38</xdr:row>
      <xdr:rowOff>367632</xdr:rowOff>
    </xdr:from>
    <xdr:to>
      <xdr:col>8</xdr:col>
      <xdr:colOff>391897</xdr:colOff>
      <xdr:row>38</xdr:row>
      <xdr:rowOff>626811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56051" y="26068421"/>
          <a:ext cx="274925" cy="259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420939</xdr:colOff>
      <xdr:row>38</xdr:row>
      <xdr:rowOff>388202</xdr:rowOff>
    </xdr:from>
    <xdr:to>
      <xdr:col>8</xdr:col>
      <xdr:colOff>651710</xdr:colOff>
      <xdr:row>38</xdr:row>
      <xdr:rowOff>598906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60018" y="26088991"/>
          <a:ext cx="230771" cy="2107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66841</xdr:colOff>
      <xdr:row>33</xdr:row>
      <xdr:rowOff>406262</xdr:rowOff>
    </xdr:from>
    <xdr:to>
      <xdr:col>1</xdr:col>
      <xdr:colOff>300790</xdr:colOff>
      <xdr:row>33</xdr:row>
      <xdr:rowOff>626812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8683" y="22764946"/>
          <a:ext cx="233949" cy="22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354096</xdr:colOff>
      <xdr:row>33</xdr:row>
      <xdr:rowOff>360591</xdr:rowOff>
    </xdr:from>
    <xdr:to>
      <xdr:col>1</xdr:col>
      <xdr:colOff>651711</xdr:colOff>
      <xdr:row>33</xdr:row>
      <xdr:rowOff>632326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5938" y="22719275"/>
          <a:ext cx="297615" cy="271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66841</xdr:colOff>
      <xdr:row>33</xdr:row>
      <xdr:rowOff>406262</xdr:rowOff>
    </xdr:from>
    <xdr:to>
      <xdr:col>8</xdr:col>
      <xdr:colOff>300790</xdr:colOff>
      <xdr:row>33</xdr:row>
      <xdr:rowOff>626812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8683" y="22764946"/>
          <a:ext cx="233949" cy="22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354096</xdr:colOff>
      <xdr:row>33</xdr:row>
      <xdr:rowOff>360591</xdr:rowOff>
    </xdr:from>
    <xdr:to>
      <xdr:col>8</xdr:col>
      <xdr:colOff>651711</xdr:colOff>
      <xdr:row>33</xdr:row>
      <xdr:rowOff>632326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5938" y="22719275"/>
          <a:ext cx="297615" cy="271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1352550</xdr:colOff>
      <xdr:row>72</xdr:row>
      <xdr:rowOff>0</xdr:rowOff>
    </xdr:from>
    <xdr:to>
      <xdr:col>3</xdr:col>
      <xdr:colOff>1543050</xdr:colOff>
      <xdr:row>72</xdr:row>
      <xdr:rowOff>0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537972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1971675</xdr:colOff>
      <xdr:row>72</xdr:row>
      <xdr:rowOff>0</xdr:rowOff>
    </xdr:from>
    <xdr:to>
      <xdr:col>3</xdr:col>
      <xdr:colOff>2190750</xdr:colOff>
      <xdr:row>72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72125" y="53797200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1352550</xdr:colOff>
      <xdr:row>72</xdr:row>
      <xdr:rowOff>0</xdr:rowOff>
    </xdr:from>
    <xdr:to>
      <xdr:col>3</xdr:col>
      <xdr:colOff>1543050</xdr:colOff>
      <xdr:row>72</xdr:row>
      <xdr:rowOff>0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53000" y="537972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1971675</xdr:colOff>
      <xdr:row>72</xdr:row>
      <xdr:rowOff>0</xdr:rowOff>
    </xdr:from>
    <xdr:to>
      <xdr:col>3</xdr:col>
      <xdr:colOff>2190750</xdr:colOff>
      <xdr:row>72</xdr:row>
      <xdr:rowOff>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72125" y="53797200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964</xdr:row>
      <xdr:rowOff>228600</xdr:rowOff>
    </xdr:from>
    <xdr:to>
      <xdr:col>2</xdr:col>
      <xdr:colOff>1543050</xdr:colOff>
      <xdr:row>964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17593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964</xdr:row>
      <xdr:rowOff>257175</xdr:rowOff>
    </xdr:from>
    <xdr:to>
      <xdr:col>2</xdr:col>
      <xdr:colOff>2190750</xdr:colOff>
      <xdr:row>964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964</xdr:row>
      <xdr:rowOff>228600</xdr:rowOff>
    </xdr:from>
    <xdr:to>
      <xdr:col>2</xdr:col>
      <xdr:colOff>1581150</xdr:colOff>
      <xdr:row>965</xdr:row>
      <xdr:rowOff>0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17593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964</xdr:row>
      <xdr:rowOff>257175</xdr:rowOff>
    </xdr:from>
    <xdr:to>
      <xdr:col>2</xdr:col>
      <xdr:colOff>2190750</xdr:colOff>
      <xdr:row>964</xdr:row>
      <xdr:rowOff>476250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964</xdr:row>
      <xdr:rowOff>228600</xdr:rowOff>
    </xdr:from>
    <xdr:to>
      <xdr:col>2</xdr:col>
      <xdr:colOff>1543050</xdr:colOff>
      <xdr:row>964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17593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964</xdr:row>
      <xdr:rowOff>257175</xdr:rowOff>
    </xdr:from>
    <xdr:to>
      <xdr:col>2</xdr:col>
      <xdr:colOff>2190750</xdr:colOff>
      <xdr:row>964</xdr:row>
      <xdr:rowOff>476250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964</xdr:row>
      <xdr:rowOff>228600</xdr:rowOff>
    </xdr:from>
    <xdr:to>
      <xdr:col>9</xdr:col>
      <xdr:colOff>1543050</xdr:colOff>
      <xdr:row>964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49625" y="7417593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964</xdr:row>
      <xdr:rowOff>257175</xdr:rowOff>
    </xdr:from>
    <xdr:to>
      <xdr:col>9</xdr:col>
      <xdr:colOff>2190750</xdr:colOff>
      <xdr:row>964</xdr:row>
      <xdr:rowOff>476250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049625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1390650</xdr:colOff>
      <xdr:row>964</xdr:row>
      <xdr:rowOff>228600</xdr:rowOff>
    </xdr:from>
    <xdr:to>
      <xdr:col>9</xdr:col>
      <xdr:colOff>1581150</xdr:colOff>
      <xdr:row>965</xdr:row>
      <xdr:rowOff>0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49625" y="7417593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964</xdr:row>
      <xdr:rowOff>257175</xdr:rowOff>
    </xdr:from>
    <xdr:to>
      <xdr:col>9</xdr:col>
      <xdr:colOff>2190750</xdr:colOff>
      <xdr:row>964</xdr:row>
      <xdr:rowOff>476250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049625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964</xdr:row>
      <xdr:rowOff>228600</xdr:rowOff>
    </xdr:from>
    <xdr:to>
      <xdr:col>9</xdr:col>
      <xdr:colOff>1543050</xdr:colOff>
      <xdr:row>964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49625" y="7417593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964</xdr:row>
      <xdr:rowOff>257175</xdr:rowOff>
    </xdr:from>
    <xdr:to>
      <xdr:col>9</xdr:col>
      <xdr:colOff>2190750</xdr:colOff>
      <xdr:row>964</xdr:row>
      <xdr:rowOff>476250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049625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964</xdr:row>
      <xdr:rowOff>228600</xdr:rowOff>
    </xdr:from>
    <xdr:to>
      <xdr:col>2</xdr:col>
      <xdr:colOff>1543050</xdr:colOff>
      <xdr:row>964</xdr:row>
      <xdr:rowOff>447675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17593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964</xdr:row>
      <xdr:rowOff>257175</xdr:rowOff>
    </xdr:from>
    <xdr:to>
      <xdr:col>2</xdr:col>
      <xdr:colOff>2190750</xdr:colOff>
      <xdr:row>964</xdr:row>
      <xdr:rowOff>476250</xdr:rowOff>
    </xdr:to>
    <xdr:pic>
      <xdr:nvPicPr>
        <xdr:cNvPr id="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964</xdr:row>
      <xdr:rowOff>228600</xdr:rowOff>
    </xdr:from>
    <xdr:to>
      <xdr:col>2</xdr:col>
      <xdr:colOff>1581150</xdr:colOff>
      <xdr:row>965</xdr:row>
      <xdr:rowOff>0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1759375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964</xdr:row>
      <xdr:rowOff>257175</xdr:rowOff>
    </xdr:from>
    <xdr:to>
      <xdr:col>2</xdr:col>
      <xdr:colOff>2190750</xdr:colOff>
      <xdr:row>964</xdr:row>
      <xdr:rowOff>476250</xdr:rowOff>
    </xdr:to>
    <xdr:pic>
      <xdr:nvPicPr>
        <xdr:cNvPr id="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964</xdr:row>
      <xdr:rowOff>228600</xdr:rowOff>
    </xdr:from>
    <xdr:to>
      <xdr:col>2</xdr:col>
      <xdr:colOff>1543050</xdr:colOff>
      <xdr:row>964</xdr:row>
      <xdr:rowOff>447675</xdr:rowOff>
    </xdr:to>
    <xdr:pic>
      <xdr:nvPicPr>
        <xdr:cNvPr id="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17593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964</xdr:row>
      <xdr:rowOff>257175</xdr:rowOff>
    </xdr:from>
    <xdr:to>
      <xdr:col>2</xdr:col>
      <xdr:colOff>2190750</xdr:colOff>
      <xdr:row>964</xdr:row>
      <xdr:rowOff>476250</xdr:rowOff>
    </xdr:to>
    <xdr:pic>
      <xdr:nvPicPr>
        <xdr:cNvPr id="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17879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965</xdr:row>
      <xdr:rowOff>228600</xdr:rowOff>
    </xdr:from>
    <xdr:to>
      <xdr:col>2</xdr:col>
      <xdr:colOff>1543050</xdr:colOff>
      <xdr:row>965</xdr:row>
      <xdr:rowOff>447675</xdr:rowOff>
    </xdr:to>
    <xdr:pic>
      <xdr:nvPicPr>
        <xdr:cNvPr id="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26928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965</xdr:row>
      <xdr:rowOff>257175</xdr:rowOff>
    </xdr:from>
    <xdr:to>
      <xdr:col>2</xdr:col>
      <xdr:colOff>2190750</xdr:colOff>
      <xdr:row>965</xdr:row>
      <xdr:rowOff>476250</xdr:rowOff>
    </xdr:to>
    <xdr:pic>
      <xdr:nvPicPr>
        <xdr:cNvPr id="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27214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965</xdr:row>
      <xdr:rowOff>228600</xdr:rowOff>
    </xdr:from>
    <xdr:to>
      <xdr:col>2</xdr:col>
      <xdr:colOff>1581150</xdr:colOff>
      <xdr:row>966</xdr:row>
      <xdr:rowOff>0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26928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965</xdr:row>
      <xdr:rowOff>257175</xdr:rowOff>
    </xdr:from>
    <xdr:to>
      <xdr:col>2</xdr:col>
      <xdr:colOff>2190750</xdr:colOff>
      <xdr:row>965</xdr:row>
      <xdr:rowOff>476250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27214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965</xdr:row>
      <xdr:rowOff>228600</xdr:rowOff>
    </xdr:from>
    <xdr:to>
      <xdr:col>2</xdr:col>
      <xdr:colOff>1543050</xdr:colOff>
      <xdr:row>965</xdr:row>
      <xdr:rowOff>447675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0450" y="7426928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965</xdr:row>
      <xdr:rowOff>257175</xdr:rowOff>
    </xdr:from>
    <xdr:to>
      <xdr:col>2</xdr:col>
      <xdr:colOff>2190750</xdr:colOff>
      <xdr:row>965</xdr:row>
      <xdr:rowOff>476250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0450" y="7427214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965</xdr:row>
      <xdr:rowOff>228600</xdr:rowOff>
    </xdr:from>
    <xdr:to>
      <xdr:col>9</xdr:col>
      <xdr:colOff>1543050</xdr:colOff>
      <xdr:row>965</xdr:row>
      <xdr:rowOff>447675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49625" y="7426928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965</xdr:row>
      <xdr:rowOff>257175</xdr:rowOff>
    </xdr:from>
    <xdr:to>
      <xdr:col>9</xdr:col>
      <xdr:colOff>2190750</xdr:colOff>
      <xdr:row>965</xdr:row>
      <xdr:rowOff>476250</xdr:rowOff>
    </xdr:to>
    <xdr:pic>
      <xdr:nvPicPr>
        <xdr:cNvPr id="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049625" y="7427214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1390650</xdr:colOff>
      <xdr:row>965</xdr:row>
      <xdr:rowOff>228600</xdr:rowOff>
    </xdr:from>
    <xdr:to>
      <xdr:col>9</xdr:col>
      <xdr:colOff>1581150</xdr:colOff>
      <xdr:row>966</xdr:row>
      <xdr:rowOff>0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49625" y="7426928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965</xdr:row>
      <xdr:rowOff>257175</xdr:rowOff>
    </xdr:from>
    <xdr:to>
      <xdr:col>9</xdr:col>
      <xdr:colOff>2190750</xdr:colOff>
      <xdr:row>965</xdr:row>
      <xdr:rowOff>476250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049625" y="7427214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1352550</xdr:colOff>
      <xdr:row>965</xdr:row>
      <xdr:rowOff>228600</xdr:rowOff>
    </xdr:from>
    <xdr:to>
      <xdr:col>9</xdr:col>
      <xdr:colOff>1543050</xdr:colOff>
      <xdr:row>965</xdr:row>
      <xdr:rowOff>447675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49625" y="742692825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1971675</xdr:colOff>
      <xdr:row>965</xdr:row>
      <xdr:rowOff>257175</xdr:rowOff>
    </xdr:from>
    <xdr:to>
      <xdr:col>9</xdr:col>
      <xdr:colOff>2190750</xdr:colOff>
      <xdr:row>965</xdr:row>
      <xdr:rowOff>476250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049625" y="74272140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</xdr:row>
      <xdr:rowOff>279400</xdr:rowOff>
    </xdr:from>
    <xdr:to>
      <xdr:col>3</xdr:col>
      <xdr:colOff>196850</xdr:colOff>
      <xdr:row>23</xdr:row>
      <xdr:rowOff>498475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9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</xdr:row>
      <xdr:rowOff>257175</xdr:rowOff>
    </xdr:from>
    <xdr:to>
      <xdr:col>3</xdr:col>
      <xdr:colOff>514350</xdr:colOff>
      <xdr:row>23</xdr:row>
      <xdr:rowOff>476250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</xdr:row>
      <xdr:rowOff>279400</xdr:rowOff>
    </xdr:from>
    <xdr:to>
      <xdr:col>3</xdr:col>
      <xdr:colOff>196850</xdr:colOff>
      <xdr:row>35</xdr:row>
      <xdr:rowOff>498475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32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</xdr:row>
      <xdr:rowOff>257175</xdr:rowOff>
    </xdr:from>
    <xdr:to>
      <xdr:col>3</xdr:col>
      <xdr:colOff>514350</xdr:colOff>
      <xdr:row>35</xdr:row>
      <xdr:rowOff>476250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29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</xdr:row>
      <xdr:rowOff>279400</xdr:rowOff>
    </xdr:from>
    <xdr:to>
      <xdr:col>3</xdr:col>
      <xdr:colOff>196850</xdr:colOff>
      <xdr:row>48</xdr:row>
      <xdr:rowOff>498475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</xdr:row>
      <xdr:rowOff>257175</xdr:rowOff>
    </xdr:from>
    <xdr:to>
      <xdr:col>3</xdr:col>
      <xdr:colOff>514350</xdr:colOff>
      <xdr:row>48</xdr:row>
      <xdr:rowOff>476250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290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</xdr:row>
      <xdr:rowOff>279400</xdr:rowOff>
    </xdr:from>
    <xdr:to>
      <xdr:col>3</xdr:col>
      <xdr:colOff>196850</xdr:colOff>
      <xdr:row>58</xdr:row>
      <xdr:rowOff>498475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</xdr:row>
      <xdr:rowOff>257175</xdr:rowOff>
    </xdr:from>
    <xdr:to>
      <xdr:col>3</xdr:col>
      <xdr:colOff>514350</xdr:colOff>
      <xdr:row>58</xdr:row>
      <xdr:rowOff>476250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234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54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</xdr:row>
      <xdr:rowOff>257175</xdr:rowOff>
    </xdr:from>
    <xdr:to>
      <xdr:col>3</xdr:col>
      <xdr:colOff>514350</xdr:colOff>
      <xdr:row>80</xdr:row>
      <xdr:rowOff>476250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32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</xdr:row>
      <xdr:rowOff>257175</xdr:rowOff>
    </xdr:from>
    <xdr:to>
      <xdr:col>3</xdr:col>
      <xdr:colOff>514350</xdr:colOff>
      <xdr:row>89</xdr:row>
      <xdr:rowOff>476250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27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484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</xdr:row>
      <xdr:rowOff>279400</xdr:rowOff>
    </xdr:from>
    <xdr:to>
      <xdr:col>10</xdr:col>
      <xdr:colOff>196850</xdr:colOff>
      <xdr:row>23</xdr:row>
      <xdr:rowOff>498475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49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</xdr:row>
      <xdr:rowOff>257175</xdr:rowOff>
    </xdr:from>
    <xdr:to>
      <xdr:col>10</xdr:col>
      <xdr:colOff>514350</xdr:colOff>
      <xdr:row>23</xdr:row>
      <xdr:rowOff>476250</xdr:rowOff>
    </xdr:to>
    <xdr:pic>
      <xdr:nvPicPr>
        <xdr:cNvPr id="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46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</xdr:row>
      <xdr:rowOff>279400</xdr:rowOff>
    </xdr:from>
    <xdr:to>
      <xdr:col>10</xdr:col>
      <xdr:colOff>196850</xdr:colOff>
      <xdr:row>35</xdr:row>
      <xdr:rowOff>498475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32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</xdr:row>
      <xdr:rowOff>257175</xdr:rowOff>
    </xdr:from>
    <xdr:to>
      <xdr:col>10</xdr:col>
      <xdr:colOff>514350</xdr:colOff>
      <xdr:row>35</xdr:row>
      <xdr:rowOff>476250</xdr:rowOff>
    </xdr:to>
    <xdr:pic>
      <xdr:nvPicPr>
        <xdr:cNvPr id="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629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</xdr:row>
      <xdr:rowOff>279400</xdr:rowOff>
    </xdr:from>
    <xdr:to>
      <xdr:col>10</xdr:col>
      <xdr:colOff>196850</xdr:colOff>
      <xdr:row>48</xdr:row>
      <xdr:rowOff>498475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</xdr:row>
      <xdr:rowOff>257175</xdr:rowOff>
    </xdr:from>
    <xdr:to>
      <xdr:col>10</xdr:col>
      <xdr:colOff>514350</xdr:colOff>
      <xdr:row>48</xdr:row>
      <xdr:rowOff>476250</xdr:rowOff>
    </xdr:to>
    <xdr:pic>
      <xdr:nvPicPr>
        <xdr:cNvPr id="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6290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</xdr:row>
      <xdr:rowOff>279400</xdr:rowOff>
    </xdr:from>
    <xdr:to>
      <xdr:col>10</xdr:col>
      <xdr:colOff>196850</xdr:colOff>
      <xdr:row>58</xdr:row>
      <xdr:rowOff>498475</xdr:rowOff>
    </xdr:to>
    <xdr:pic>
      <xdr:nvPicPr>
        <xdr:cNvPr id="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58</xdr:row>
      <xdr:rowOff>257175</xdr:rowOff>
    </xdr:from>
    <xdr:to>
      <xdr:col>10</xdr:col>
      <xdr:colOff>514350</xdr:colOff>
      <xdr:row>58</xdr:row>
      <xdr:rowOff>476250</xdr:rowOff>
    </xdr:to>
    <xdr:pic>
      <xdr:nvPicPr>
        <xdr:cNvPr id="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4234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</xdr:row>
      <xdr:rowOff>257175</xdr:rowOff>
    </xdr:from>
    <xdr:to>
      <xdr:col>10</xdr:col>
      <xdr:colOff>514350</xdr:colOff>
      <xdr:row>71</xdr:row>
      <xdr:rowOff>476250</xdr:rowOff>
    </xdr:to>
    <xdr:pic>
      <xdr:nvPicPr>
        <xdr:cNvPr id="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354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</xdr:row>
      <xdr:rowOff>257175</xdr:rowOff>
    </xdr:from>
    <xdr:to>
      <xdr:col>10</xdr:col>
      <xdr:colOff>514350</xdr:colOff>
      <xdr:row>80</xdr:row>
      <xdr:rowOff>476250</xdr:rowOff>
    </xdr:to>
    <xdr:pic>
      <xdr:nvPicPr>
        <xdr:cNvPr id="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032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</xdr:row>
      <xdr:rowOff>257175</xdr:rowOff>
    </xdr:from>
    <xdr:to>
      <xdr:col>10</xdr:col>
      <xdr:colOff>514350</xdr:colOff>
      <xdr:row>89</xdr:row>
      <xdr:rowOff>476250</xdr:rowOff>
    </xdr:to>
    <xdr:pic>
      <xdr:nvPicPr>
        <xdr:cNvPr id="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727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</xdr:row>
      <xdr:rowOff>257175</xdr:rowOff>
    </xdr:from>
    <xdr:to>
      <xdr:col>10</xdr:col>
      <xdr:colOff>514350</xdr:colOff>
      <xdr:row>99</xdr:row>
      <xdr:rowOff>476250</xdr:rowOff>
    </xdr:to>
    <xdr:pic>
      <xdr:nvPicPr>
        <xdr:cNvPr id="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</xdr:row>
      <xdr:rowOff>257175</xdr:rowOff>
    </xdr:from>
    <xdr:to>
      <xdr:col>10</xdr:col>
      <xdr:colOff>514350</xdr:colOff>
      <xdr:row>112</xdr:row>
      <xdr:rowOff>476250</xdr:rowOff>
    </xdr:to>
    <xdr:pic>
      <xdr:nvPicPr>
        <xdr:cNvPr id="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484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</xdr:row>
      <xdr:rowOff>257175</xdr:rowOff>
    </xdr:from>
    <xdr:to>
      <xdr:col>10</xdr:col>
      <xdr:colOff>514350</xdr:colOff>
      <xdr:row>122</xdr:row>
      <xdr:rowOff>476250</xdr:rowOff>
    </xdr:to>
    <xdr:pic>
      <xdr:nvPicPr>
        <xdr:cNvPr id="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</xdr:row>
      <xdr:rowOff>257175</xdr:rowOff>
    </xdr:from>
    <xdr:to>
      <xdr:col>10</xdr:col>
      <xdr:colOff>514350</xdr:colOff>
      <xdr:row>132</xdr:row>
      <xdr:rowOff>476250</xdr:rowOff>
    </xdr:to>
    <xdr:pic>
      <xdr:nvPicPr>
        <xdr:cNvPr id="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</xdr:row>
      <xdr:rowOff>257175</xdr:rowOff>
    </xdr:from>
    <xdr:to>
      <xdr:col>10</xdr:col>
      <xdr:colOff>514350</xdr:colOff>
      <xdr:row>141</xdr:row>
      <xdr:rowOff>476250</xdr:rowOff>
    </xdr:to>
    <xdr:pic>
      <xdr:nvPicPr>
        <xdr:cNvPr id="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162</xdr:row>
      <xdr:rowOff>257175</xdr:rowOff>
    </xdr:from>
    <xdr:to>
      <xdr:col>10</xdr:col>
      <xdr:colOff>514350</xdr:colOff>
      <xdr:row>162</xdr:row>
      <xdr:rowOff>476250</xdr:rowOff>
    </xdr:to>
    <xdr:pic>
      <xdr:nvPicPr>
        <xdr:cNvPr id="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243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181</xdr:row>
      <xdr:rowOff>257175</xdr:rowOff>
    </xdr:from>
    <xdr:to>
      <xdr:col>10</xdr:col>
      <xdr:colOff>514350</xdr:colOff>
      <xdr:row>181</xdr:row>
      <xdr:rowOff>476250</xdr:rowOff>
    </xdr:to>
    <xdr:pic>
      <xdr:nvPicPr>
        <xdr:cNvPr id="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182</xdr:row>
      <xdr:rowOff>0</xdr:rowOff>
    </xdr:from>
    <xdr:to>
      <xdr:col>10</xdr:col>
      <xdr:colOff>196850</xdr:colOff>
      <xdr:row>182</xdr:row>
      <xdr:rowOff>0</xdr:rowOff>
    </xdr:to>
    <xdr:pic>
      <xdr:nvPicPr>
        <xdr:cNvPr id="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7398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223</xdr:row>
      <xdr:rowOff>279400</xdr:rowOff>
    </xdr:from>
    <xdr:to>
      <xdr:col>10</xdr:col>
      <xdr:colOff>196850</xdr:colOff>
      <xdr:row>223</xdr:row>
      <xdr:rowOff>498475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91481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223</xdr:row>
      <xdr:rowOff>257175</xdr:rowOff>
    </xdr:from>
    <xdr:to>
      <xdr:col>10</xdr:col>
      <xdr:colOff>514350</xdr:colOff>
      <xdr:row>223</xdr:row>
      <xdr:rowOff>476250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9125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58156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5793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283</xdr:row>
      <xdr:rowOff>279400</xdr:rowOff>
    </xdr:from>
    <xdr:to>
      <xdr:col>10</xdr:col>
      <xdr:colOff>196850</xdr:colOff>
      <xdr:row>283</xdr:row>
      <xdr:rowOff>498475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440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283</xdr:row>
      <xdr:rowOff>257175</xdr:rowOff>
    </xdr:from>
    <xdr:to>
      <xdr:col>10</xdr:col>
      <xdr:colOff>514350</xdr:colOff>
      <xdr:row>283</xdr:row>
      <xdr:rowOff>476250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4379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296</xdr:row>
      <xdr:rowOff>279400</xdr:rowOff>
    </xdr:from>
    <xdr:to>
      <xdr:col>10</xdr:col>
      <xdr:colOff>196850</xdr:colOff>
      <xdr:row>296</xdr:row>
      <xdr:rowOff>498475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3821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296</xdr:row>
      <xdr:rowOff>257175</xdr:rowOff>
    </xdr:from>
    <xdr:to>
      <xdr:col>10</xdr:col>
      <xdr:colOff>514350</xdr:colOff>
      <xdr:row>296</xdr:row>
      <xdr:rowOff>476250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3799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306</xdr:row>
      <xdr:rowOff>279400</xdr:rowOff>
    </xdr:from>
    <xdr:to>
      <xdr:col>10</xdr:col>
      <xdr:colOff>196850</xdr:colOff>
      <xdr:row>306</xdr:row>
      <xdr:rowOff>498475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0346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306</xdr:row>
      <xdr:rowOff>257175</xdr:rowOff>
    </xdr:from>
    <xdr:to>
      <xdr:col>10</xdr:col>
      <xdr:colOff>514350</xdr:colOff>
      <xdr:row>306</xdr:row>
      <xdr:rowOff>476250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0324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326</xdr:row>
      <xdr:rowOff>279400</xdr:rowOff>
    </xdr:from>
    <xdr:to>
      <xdr:col>10</xdr:col>
      <xdr:colOff>196850</xdr:colOff>
      <xdr:row>326</xdr:row>
      <xdr:rowOff>498475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4595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326</xdr:row>
      <xdr:rowOff>257175</xdr:rowOff>
    </xdr:from>
    <xdr:to>
      <xdr:col>10</xdr:col>
      <xdr:colOff>514350</xdr:colOff>
      <xdr:row>326</xdr:row>
      <xdr:rowOff>476250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4573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336</xdr:row>
      <xdr:rowOff>279400</xdr:rowOff>
    </xdr:from>
    <xdr:to>
      <xdr:col>10</xdr:col>
      <xdr:colOff>196850</xdr:colOff>
      <xdr:row>336</xdr:row>
      <xdr:rowOff>498475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113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336</xdr:row>
      <xdr:rowOff>257175</xdr:rowOff>
    </xdr:from>
    <xdr:to>
      <xdr:col>10</xdr:col>
      <xdr:colOff>514350</xdr:colOff>
      <xdr:row>336</xdr:row>
      <xdr:rowOff>476250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111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356</xdr:row>
      <xdr:rowOff>279400</xdr:rowOff>
    </xdr:from>
    <xdr:to>
      <xdr:col>10</xdr:col>
      <xdr:colOff>196850</xdr:colOff>
      <xdr:row>356</xdr:row>
      <xdr:rowOff>498475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5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356</xdr:row>
      <xdr:rowOff>257175</xdr:rowOff>
    </xdr:from>
    <xdr:to>
      <xdr:col>10</xdr:col>
      <xdr:colOff>514350</xdr:colOff>
      <xdr:row>356</xdr:row>
      <xdr:rowOff>476250</xdr:rowOff>
    </xdr:to>
    <xdr:pic>
      <xdr:nvPicPr>
        <xdr:cNvPr id="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65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365</xdr:row>
      <xdr:rowOff>279400</xdr:rowOff>
    </xdr:from>
    <xdr:to>
      <xdr:col>10</xdr:col>
      <xdr:colOff>196850</xdr:colOff>
      <xdr:row>365</xdr:row>
      <xdr:rowOff>498475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150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365</xdr:row>
      <xdr:rowOff>257175</xdr:rowOff>
    </xdr:from>
    <xdr:to>
      <xdr:col>10</xdr:col>
      <xdr:colOff>514350</xdr:colOff>
      <xdr:row>365</xdr:row>
      <xdr:rowOff>476250</xdr:rowOff>
    </xdr:to>
    <xdr:pic>
      <xdr:nvPicPr>
        <xdr:cNvPr id="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148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375</xdr:row>
      <xdr:rowOff>279400</xdr:rowOff>
    </xdr:from>
    <xdr:to>
      <xdr:col>10</xdr:col>
      <xdr:colOff>196850</xdr:colOff>
      <xdr:row>375</xdr:row>
      <xdr:rowOff>498475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8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375</xdr:row>
      <xdr:rowOff>257175</xdr:rowOff>
    </xdr:from>
    <xdr:to>
      <xdr:col>10</xdr:col>
      <xdr:colOff>514350</xdr:colOff>
      <xdr:row>375</xdr:row>
      <xdr:rowOff>476250</xdr:rowOff>
    </xdr:to>
    <xdr:pic>
      <xdr:nvPicPr>
        <xdr:cNvPr id="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801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384</xdr:row>
      <xdr:rowOff>279400</xdr:rowOff>
    </xdr:from>
    <xdr:to>
      <xdr:col>10</xdr:col>
      <xdr:colOff>196850</xdr:colOff>
      <xdr:row>384</xdr:row>
      <xdr:rowOff>498475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8416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384</xdr:row>
      <xdr:rowOff>257175</xdr:rowOff>
    </xdr:from>
    <xdr:to>
      <xdr:col>10</xdr:col>
      <xdr:colOff>514350</xdr:colOff>
      <xdr:row>384</xdr:row>
      <xdr:rowOff>476250</xdr:rowOff>
    </xdr:to>
    <xdr:pic>
      <xdr:nvPicPr>
        <xdr:cNvPr id="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841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394</xdr:row>
      <xdr:rowOff>279400</xdr:rowOff>
    </xdr:from>
    <xdr:to>
      <xdr:col>10</xdr:col>
      <xdr:colOff>196850</xdr:colOff>
      <xdr:row>394</xdr:row>
      <xdr:rowOff>498475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90525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394</xdr:row>
      <xdr:rowOff>257175</xdr:rowOff>
    </xdr:from>
    <xdr:to>
      <xdr:col>10</xdr:col>
      <xdr:colOff>514350</xdr:colOff>
      <xdr:row>394</xdr:row>
      <xdr:rowOff>476250</xdr:rowOff>
    </xdr:to>
    <xdr:pic>
      <xdr:nvPicPr>
        <xdr:cNvPr id="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90502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403</xdr:row>
      <xdr:rowOff>279400</xdr:rowOff>
    </xdr:from>
    <xdr:to>
      <xdr:col>10</xdr:col>
      <xdr:colOff>196850</xdr:colOff>
      <xdr:row>403</xdr:row>
      <xdr:rowOff>498475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96859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403</xdr:row>
      <xdr:rowOff>257175</xdr:rowOff>
    </xdr:from>
    <xdr:to>
      <xdr:col>10</xdr:col>
      <xdr:colOff>514350</xdr:colOff>
      <xdr:row>403</xdr:row>
      <xdr:rowOff>476250</xdr:rowOff>
    </xdr:to>
    <xdr:pic>
      <xdr:nvPicPr>
        <xdr:cNvPr id="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9683710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431</xdr:row>
      <xdr:rowOff>279400</xdr:rowOff>
    </xdr:from>
    <xdr:to>
      <xdr:col>10</xdr:col>
      <xdr:colOff>196850</xdr:colOff>
      <xdr:row>431</xdr:row>
      <xdr:rowOff>498475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204718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431</xdr:row>
      <xdr:rowOff>257175</xdr:rowOff>
    </xdr:from>
    <xdr:to>
      <xdr:col>10</xdr:col>
      <xdr:colOff>514350</xdr:colOff>
      <xdr:row>431</xdr:row>
      <xdr:rowOff>476250</xdr:rowOff>
    </xdr:to>
    <xdr:pic>
      <xdr:nvPicPr>
        <xdr:cNvPr id="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20449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459</xdr:row>
      <xdr:rowOff>279400</xdr:rowOff>
    </xdr:from>
    <xdr:to>
      <xdr:col>10</xdr:col>
      <xdr:colOff>196850</xdr:colOff>
      <xdr:row>459</xdr:row>
      <xdr:rowOff>498475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4269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459</xdr:row>
      <xdr:rowOff>257175</xdr:rowOff>
    </xdr:from>
    <xdr:to>
      <xdr:col>10</xdr:col>
      <xdr:colOff>514350</xdr:colOff>
      <xdr:row>459</xdr:row>
      <xdr:rowOff>476250</xdr:rowOff>
    </xdr:to>
    <xdr:pic>
      <xdr:nvPicPr>
        <xdr:cNvPr id="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4267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490</xdr:row>
      <xdr:rowOff>279400</xdr:rowOff>
    </xdr:from>
    <xdr:to>
      <xdr:col>10</xdr:col>
      <xdr:colOff>196850</xdr:colOff>
      <xdr:row>490</xdr:row>
      <xdr:rowOff>498475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6622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490</xdr:row>
      <xdr:rowOff>257175</xdr:rowOff>
    </xdr:from>
    <xdr:to>
      <xdr:col>10</xdr:col>
      <xdr:colOff>514350</xdr:colOff>
      <xdr:row>490</xdr:row>
      <xdr:rowOff>476250</xdr:rowOff>
    </xdr:to>
    <xdr:pic>
      <xdr:nvPicPr>
        <xdr:cNvPr id="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6620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527</xdr:row>
      <xdr:rowOff>279400</xdr:rowOff>
    </xdr:from>
    <xdr:to>
      <xdr:col>10</xdr:col>
      <xdr:colOff>196850</xdr:colOff>
      <xdr:row>527</xdr:row>
      <xdr:rowOff>498475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9547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527</xdr:row>
      <xdr:rowOff>257175</xdr:rowOff>
    </xdr:from>
    <xdr:to>
      <xdr:col>10</xdr:col>
      <xdr:colOff>514350</xdr:colOff>
      <xdr:row>527</xdr:row>
      <xdr:rowOff>476250</xdr:rowOff>
    </xdr:to>
    <xdr:pic>
      <xdr:nvPicPr>
        <xdr:cNvPr id="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95449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555</xdr:row>
      <xdr:rowOff>279400</xdr:rowOff>
    </xdr:from>
    <xdr:to>
      <xdr:col>10</xdr:col>
      <xdr:colOff>196850</xdr:colOff>
      <xdr:row>555</xdr:row>
      <xdr:rowOff>498475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17026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555</xdr:row>
      <xdr:rowOff>257175</xdr:rowOff>
    </xdr:from>
    <xdr:to>
      <xdr:col>10</xdr:col>
      <xdr:colOff>514350</xdr:colOff>
      <xdr:row>555</xdr:row>
      <xdr:rowOff>476250</xdr:rowOff>
    </xdr:to>
    <xdr:pic>
      <xdr:nvPicPr>
        <xdr:cNvPr id="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17004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583</xdr:row>
      <xdr:rowOff>279400</xdr:rowOff>
    </xdr:from>
    <xdr:to>
      <xdr:col>10</xdr:col>
      <xdr:colOff>196850</xdr:colOff>
      <xdr:row>583</xdr:row>
      <xdr:rowOff>498475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39496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583</xdr:row>
      <xdr:rowOff>257175</xdr:rowOff>
    </xdr:from>
    <xdr:to>
      <xdr:col>10</xdr:col>
      <xdr:colOff>514350</xdr:colOff>
      <xdr:row>583</xdr:row>
      <xdr:rowOff>476250</xdr:rowOff>
    </xdr:to>
    <xdr:pic>
      <xdr:nvPicPr>
        <xdr:cNvPr id="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39473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611</xdr:row>
      <xdr:rowOff>279400</xdr:rowOff>
    </xdr:from>
    <xdr:to>
      <xdr:col>10</xdr:col>
      <xdr:colOff>196850</xdr:colOff>
      <xdr:row>611</xdr:row>
      <xdr:rowOff>498475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6093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611</xdr:row>
      <xdr:rowOff>257175</xdr:rowOff>
    </xdr:from>
    <xdr:to>
      <xdr:col>10</xdr:col>
      <xdr:colOff>514350</xdr:colOff>
      <xdr:row>611</xdr:row>
      <xdr:rowOff>476250</xdr:rowOff>
    </xdr:to>
    <xdr:pic>
      <xdr:nvPicPr>
        <xdr:cNvPr id="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60914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642</xdr:row>
      <xdr:rowOff>279400</xdr:rowOff>
    </xdr:from>
    <xdr:to>
      <xdr:col>10</xdr:col>
      <xdr:colOff>196850</xdr:colOff>
      <xdr:row>642</xdr:row>
      <xdr:rowOff>498475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8794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642</xdr:row>
      <xdr:rowOff>257175</xdr:rowOff>
    </xdr:from>
    <xdr:to>
      <xdr:col>10</xdr:col>
      <xdr:colOff>514350</xdr:colOff>
      <xdr:row>642</xdr:row>
      <xdr:rowOff>476250</xdr:rowOff>
    </xdr:to>
    <xdr:pic>
      <xdr:nvPicPr>
        <xdr:cNvPr id="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8792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670</xdr:row>
      <xdr:rowOff>279400</xdr:rowOff>
    </xdr:from>
    <xdr:to>
      <xdr:col>10</xdr:col>
      <xdr:colOff>196850</xdr:colOff>
      <xdr:row>670</xdr:row>
      <xdr:rowOff>498475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0891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670</xdr:row>
      <xdr:rowOff>257175</xdr:rowOff>
    </xdr:from>
    <xdr:to>
      <xdr:col>10</xdr:col>
      <xdr:colOff>514350</xdr:colOff>
      <xdr:row>670</xdr:row>
      <xdr:rowOff>476250</xdr:rowOff>
    </xdr:to>
    <xdr:pic>
      <xdr:nvPicPr>
        <xdr:cNvPr id="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0889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698</xdr:row>
      <xdr:rowOff>279400</xdr:rowOff>
    </xdr:from>
    <xdr:to>
      <xdr:col>10</xdr:col>
      <xdr:colOff>196850</xdr:colOff>
      <xdr:row>698</xdr:row>
      <xdr:rowOff>498475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306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698</xdr:row>
      <xdr:rowOff>257175</xdr:rowOff>
    </xdr:from>
    <xdr:to>
      <xdr:col>10</xdr:col>
      <xdr:colOff>514350</xdr:colOff>
      <xdr:row>698</xdr:row>
      <xdr:rowOff>476250</xdr:rowOff>
    </xdr:to>
    <xdr:pic>
      <xdr:nvPicPr>
        <xdr:cNvPr id="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30609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726</xdr:row>
      <xdr:rowOff>279400</xdr:rowOff>
    </xdr:from>
    <xdr:to>
      <xdr:col>10</xdr:col>
      <xdr:colOff>196850</xdr:colOff>
      <xdr:row>726</xdr:row>
      <xdr:rowOff>498475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5224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726</xdr:row>
      <xdr:rowOff>257175</xdr:rowOff>
    </xdr:from>
    <xdr:to>
      <xdr:col>10</xdr:col>
      <xdr:colOff>514350</xdr:colOff>
      <xdr:row>726</xdr:row>
      <xdr:rowOff>476250</xdr:rowOff>
    </xdr:to>
    <xdr:pic>
      <xdr:nvPicPr>
        <xdr:cNvPr id="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5222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754</xdr:row>
      <xdr:rowOff>279400</xdr:rowOff>
    </xdr:from>
    <xdr:to>
      <xdr:col>10</xdr:col>
      <xdr:colOff>196850</xdr:colOff>
      <xdr:row>754</xdr:row>
      <xdr:rowOff>498475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7454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754</xdr:row>
      <xdr:rowOff>257175</xdr:rowOff>
    </xdr:from>
    <xdr:to>
      <xdr:col>10</xdr:col>
      <xdr:colOff>514350</xdr:colOff>
      <xdr:row>754</xdr:row>
      <xdr:rowOff>476250</xdr:rowOff>
    </xdr:to>
    <xdr:pic>
      <xdr:nvPicPr>
        <xdr:cNvPr id="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74519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782</xdr:row>
      <xdr:rowOff>279400</xdr:rowOff>
    </xdr:from>
    <xdr:to>
      <xdr:col>10</xdr:col>
      <xdr:colOff>196850</xdr:colOff>
      <xdr:row>782</xdr:row>
      <xdr:rowOff>498475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95763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782</xdr:row>
      <xdr:rowOff>257175</xdr:rowOff>
    </xdr:from>
    <xdr:to>
      <xdr:col>10</xdr:col>
      <xdr:colOff>514350</xdr:colOff>
      <xdr:row>782</xdr:row>
      <xdr:rowOff>476250</xdr:rowOff>
    </xdr:to>
    <xdr:pic>
      <xdr:nvPicPr>
        <xdr:cNvPr id="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9574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810</xdr:row>
      <xdr:rowOff>279400</xdr:rowOff>
    </xdr:from>
    <xdr:to>
      <xdr:col>10</xdr:col>
      <xdr:colOff>196850</xdr:colOff>
      <xdr:row>810</xdr:row>
      <xdr:rowOff>498475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17575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810</xdr:row>
      <xdr:rowOff>257175</xdr:rowOff>
    </xdr:from>
    <xdr:to>
      <xdr:col>10</xdr:col>
      <xdr:colOff>514350</xdr:colOff>
      <xdr:row>810</xdr:row>
      <xdr:rowOff>476250</xdr:rowOff>
    </xdr:to>
    <xdr:pic>
      <xdr:nvPicPr>
        <xdr:cNvPr id="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17553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838</xdr:row>
      <xdr:rowOff>279400</xdr:rowOff>
    </xdr:from>
    <xdr:to>
      <xdr:col>10</xdr:col>
      <xdr:colOff>196850</xdr:colOff>
      <xdr:row>838</xdr:row>
      <xdr:rowOff>498475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0988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838</xdr:row>
      <xdr:rowOff>257175</xdr:rowOff>
    </xdr:from>
    <xdr:to>
      <xdr:col>10</xdr:col>
      <xdr:colOff>514350</xdr:colOff>
      <xdr:row>838</xdr:row>
      <xdr:rowOff>476250</xdr:rowOff>
    </xdr:to>
    <xdr:pic>
      <xdr:nvPicPr>
        <xdr:cNvPr id="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40965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866</xdr:row>
      <xdr:rowOff>279400</xdr:rowOff>
    </xdr:from>
    <xdr:to>
      <xdr:col>10</xdr:col>
      <xdr:colOff>196850</xdr:colOff>
      <xdr:row>866</xdr:row>
      <xdr:rowOff>498475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6325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866</xdr:row>
      <xdr:rowOff>257175</xdr:rowOff>
    </xdr:from>
    <xdr:to>
      <xdr:col>10</xdr:col>
      <xdr:colOff>514350</xdr:colOff>
      <xdr:row>866</xdr:row>
      <xdr:rowOff>476250</xdr:rowOff>
    </xdr:to>
    <xdr:pic>
      <xdr:nvPicPr>
        <xdr:cNvPr id="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6323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890</xdr:row>
      <xdr:rowOff>279400</xdr:rowOff>
    </xdr:from>
    <xdr:to>
      <xdr:col>10</xdr:col>
      <xdr:colOff>196850</xdr:colOff>
      <xdr:row>890</xdr:row>
      <xdr:rowOff>498475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82821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890</xdr:row>
      <xdr:rowOff>257175</xdr:rowOff>
    </xdr:from>
    <xdr:to>
      <xdr:col>10</xdr:col>
      <xdr:colOff>514350</xdr:colOff>
      <xdr:row>890</xdr:row>
      <xdr:rowOff>476250</xdr:rowOff>
    </xdr:to>
    <xdr:pic>
      <xdr:nvPicPr>
        <xdr:cNvPr id="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82799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918</xdr:row>
      <xdr:rowOff>279400</xdr:rowOff>
    </xdr:from>
    <xdr:to>
      <xdr:col>10</xdr:col>
      <xdr:colOff>196850</xdr:colOff>
      <xdr:row>918</xdr:row>
      <xdr:rowOff>498475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0482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918</xdr:row>
      <xdr:rowOff>257175</xdr:rowOff>
    </xdr:from>
    <xdr:to>
      <xdr:col>10</xdr:col>
      <xdr:colOff>514350</xdr:colOff>
      <xdr:row>918</xdr:row>
      <xdr:rowOff>476250</xdr:rowOff>
    </xdr:to>
    <xdr:pic>
      <xdr:nvPicPr>
        <xdr:cNvPr id="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0480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946</xdr:row>
      <xdr:rowOff>279400</xdr:rowOff>
    </xdr:from>
    <xdr:to>
      <xdr:col>10</xdr:col>
      <xdr:colOff>196850</xdr:colOff>
      <xdr:row>946</xdr:row>
      <xdr:rowOff>498475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7513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946</xdr:row>
      <xdr:rowOff>257175</xdr:rowOff>
    </xdr:from>
    <xdr:to>
      <xdr:col>10</xdr:col>
      <xdr:colOff>514350</xdr:colOff>
      <xdr:row>946</xdr:row>
      <xdr:rowOff>476250</xdr:rowOff>
    </xdr:to>
    <xdr:pic>
      <xdr:nvPicPr>
        <xdr:cNvPr id="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27490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983</xdr:row>
      <xdr:rowOff>279400</xdr:rowOff>
    </xdr:from>
    <xdr:to>
      <xdr:col>10</xdr:col>
      <xdr:colOff>196850</xdr:colOff>
      <xdr:row>983</xdr:row>
      <xdr:rowOff>498475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6459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983</xdr:row>
      <xdr:rowOff>257175</xdr:rowOff>
    </xdr:from>
    <xdr:to>
      <xdr:col>10</xdr:col>
      <xdr:colOff>514350</xdr:colOff>
      <xdr:row>983</xdr:row>
      <xdr:rowOff>476250</xdr:rowOff>
    </xdr:to>
    <xdr:pic>
      <xdr:nvPicPr>
        <xdr:cNvPr id="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56437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1011</xdr:row>
      <xdr:rowOff>279400</xdr:rowOff>
    </xdr:from>
    <xdr:to>
      <xdr:col>10</xdr:col>
      <xdr:colOff>196850</xdr:colOff>
      <xdr:row>1011</xdr:row>
      <xdr:rowOff>498475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7797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1011</xdr:row>
      <xdr:rowOff>257175</xdr:rowOff>
    </xdr:from>
    <xdr:to>
      <xdr:col>10</xdr:col>
      <xdr:colOff>514350</xdr:colOff>
      <xdr:row>1011</xdr:row>
      <xdr:rowOff>476250</xdr:rowOff>
    </xdr:to>
    <xdr:pic>
      <xdr:nvPicPr>
        <xdr:cNvPr id="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7795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1039</xdr:row>
      <xdr:rowOff>279400</xdr:rowOff>
    </xdr:from>
    <xdr:to>
      <xdr:col>10</xdr:col>
      <xdr:colOff>196850</xdr:colOff>
      <xdr:row>1039</xdr:row>
      <xdr:rowOff>498475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96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1039</xdr:row>
      <xdr:rowOff>257175</xdr:rowOff>
    </xdr:from>
    <xdr:to>
      <xdr:col>10</xdr:col>
      <xdr:colOff>514350</xdr:colOff>
      <xdr:row>1039</xdr:row>
      <xdr:rowOff>476250</xdr:rowOff>
    </xdr:to>
    <xdr:pic>
      <xdr:nvPicPr>
        <xdr:cNvPr id="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9966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1073</xdr:row>
      <xdr:rowOff>279400</xdr:rowOff>
    </xdr:from>
    <xdr:to>
      <xdr:col>10</xdr:col>
      <xdr:colOff>196850</xdr:colOff>
      <xdr:row>1073</xdr:row>
      <xdr:rowOff>498475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542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1073</xdr:row>
      <xdr:rowOff>257175</xdr:rowOff>
    </xdr:from>
    <xdr:to>
      <xdr:col>10</xdr:col>
      <xdr:colOff>514350</xdr:colOff>
      <xdr:row>1073</xdr:row>
      <xdr:rowOff>476250</xdr:rowOff>
    </xdr:to>
    <xdr:pic>
      <xdr:nvPicPr>
        <xdr:cNvPr id="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2539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1101</xdr:row>
      <xdr:rowOff>279400</xdr:rowOff>
    </xdr:from>
    <xdr:to>
      <xdr:col>10</xdr:col>
      <xdr:colOff>196850</xdr:colOff>
      <xdr:row>1101</xdr:row>
      <xdr:rowOff>498475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47471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1101</xdr:row>
      <xdr:rowOff>257175</xdr:rowOff>
    </xdr:from>
    <xdr:to>
      <xdr:col>10</xdr:col>
      <xdr:colOff>514350</xdr:colOff>
      <xdr:row>1101</xdr:row>
      <xdr:rowOff>476250</xdr:rowOff>
    </xdr:to>
    <xdr:pic>
      <xdr:nvPicPr>
        <xdr:cNvPr id="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47448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1129</xdr:row>
      <xdr:rowOff>279400</xdr:rowOff>
    </xdr:from>
    <xdr:to>
      <xdr:col>10</xdr:col>
      <xdr:colOff>196850</xdr:colOff>
      <xdr:row>1129</xdr:row>
      <xdr:rowOff>498475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696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1129</xdr:row>
      <xdr:rowOff>257175</xdr:rowOff>
    </xdr:from>
    <xdr:to>
      <xdr:col>10</xdr:col>
      <xdr:colOff>514350</xdr:colOff>
      <xdr:row>1129</xdr:row>
      <xdr:rowOff>476250</xdr:rowOff>
    </xdr:to>
    <xdr:pic>
      <xdr:nvPicPr>
        <xdr:cNvPr id="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69613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1157</xdr:row>
      <xdr:rowOff>279400</xdr:rowOff>
    </xdr:from>
    <xdr:to>
      <xdr:col>10</xdr:col>
      <xdr:colOff>196850</xdr:colOff>
      <xdr:row>1157</xdr:row>
      <xdr:rowOff>498475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9051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1157</xdr:row>
      <xdr:rowOff>257175</xdr:rowOff>
    </xdr:from>
    <xdr:to>
      <xdr:col>10</xdr:col>
      <xdr:colOff>514350</xdr:colOff>
      <xdr:row>1157</xdr:row>
      <xdr:rowOff>476250</xdr:rowOff>
    </xdr:to>
    <xdr:pic>
      <xdr:nvPicPr>
        <xdr:cNvPr id="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9049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1213</xdr:row>
      <xdr:rowOff>279400</xdr:rowOff>
    </xdr:from>
    <xdr:to>
      <xdr:col>10</xdr:col>
      <xdr:colOff>196850</xdr:colOff>
      <xdr:row>1213</xdr:row>
      <xdr:rowOff>498475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3636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1213</xdr:row>
      <xdr:rowOff>257175</xdr:rowOff>
    </xdr:from>
    <xdr:to>
      <xdr:col>10</xdr:col>
      <xdr:colOff>514350</xdr:colOff>
      <xdr:row>1213</xdr:row>
      <xdr:rowOff>476250</xdr:rowOff>
    </xdr:to>
    <xdr:pic>
      <xdr:nvPicPr>
        <xdr:cNvPr id="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3634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1241</xdr:row>
      <xdr:rowOff>279400</xdr:rowOff>
    </xdr:from>
    <xdr:to>
      <xdr:col>10</xdr:col>
      <xdr:colOff>196850</xdr:colOff>
      <xdr:row>1241</xdr:row>
      <xdr:rowOff>498475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803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1241</xdr:row>
      <xdr:rowOff>257175</xdr:rowOff>
    </xdr:from>
    <xdr:to>
      <xdr:col>10</xdr:col>
      <xdr:colOff>514350</xdr:colOff>
      <xdr:row>1241</xdr:row>
      <xdr:rowOff>476250</xdr:rowOff>
    </xdr:to>
    <xdr:pic>
      <xdr:nvPicPr>
        <xdr:cNvPr id="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58014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1269</xdr:row>
      <xdr:rowOff>279400</xdr:rowOff>
    </xdr:from>
    <xdr:to>
      <xdr:col>10</xdr:col>
      <xdr:colOff>196850</xdr:colOff>
      <xdr:row>1269</xdr:row>
      <xdr:rowOff>498475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79973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1269</xdr:row>
      <xdr:rowOff>257175</xdr:rowOff>
    </xdr:from>
    <xdr:to>
      <xdr:col>10</xdr:col>
      <xdr:colOff>514350</xdr:colOff>
      <xdr:row>1269</xdr:row>
      <xdr:rowOff>476250</xdr:rowOff>
    </xdr:to>
    <xdr:pic>
      <xdr:nvPicPr>
        <xdr:cNvPr id="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7995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1297</xdr:row>
      <xdr:rowOff>279400</xdr:rowOff>
    </xdr:from>
    <xdr:to>
      <xdr:col>10</xdr:col>
      <xdr:colOff>196850</xdr:colOff>
      <xdr:row>1297</xdr:row>
      <xdr:rowOff>498475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0168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1297</xdr:row>
      <xdr:rowOff>257175</xdr:rowOff>
    </xdr:from>
    <xdr:to>
      <xdr:col>10</xdr:col>
      <xdr:colOff>514350</xdr:colOff>
      <xdr:row>1297</xdr:row>
      <xdr:rowOff>476250</xdr:rowOff>
    </xdr:to>
    <xdr:pic>
      <xdr:nvPicPr>
        <xdr:cNvPr id="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0165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1325</xdr:row>
      <xdr:rowOff>279400</xdr:rowOff>
    </xdr:from>
    <xdr:to>
      <xdr:col>10</xdr:col>
      <xdr:colOff>196850</xdr:colOff>
      <xdr:row>1325</xdr:row>
      <xdr:rowOff>498475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3788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1325</xdr:row>
      <xdr:rowOff>257175</xdr:rowOff>
    </xdr:from>
    <xdr:to>
      <xdr:col>10</xdr:col>
      <xdr:colOff>514350</xdr:colOff>
      <xdr:row>1325</xdr:row>
      <xdr:rowOff>476250</xdr:rowOff>
    </xdr:to>
    <xdr:pic>
      <xdr:nvPicPr>
        <xdr:cNvPr id="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23766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1353</xdr:row>
      <xdr:rowOff>279400</xdr:rowOff>
    </xdr:from>
    <xdr:to>
      <xdr:col>10</xdr:col>
      <xdr:colOff>196850</xdr:colOff>
      <xdr:row>1353</xdr:row>
      <xdr:rowOff>498475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4529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1353</xdr:row>
      <xdr:rowOff>257175</xdr:rowOff>
    </xdr:from>
    <xdr:to>
      <xdr:col>10</xdr:col>
      <xdr:colOff>514350</xdr:colOff>
      <xdr:row>1353</xdr:row>
      <xdr:rowOff>476250</xdr:rowOff>
    </xdr:to>
    <xdr:pic>
      <xdr:nvPicPr>
        <xdr:cNvPr id="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4527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1381</xdr:row>
      <xdr:rowOff>279400</xdr:rowOff>
    </xdr:from>
    <xdr:to>
      <xdr:col>10</xdr:col>
      <xdr:colOff>196850</xdr:colOff>
      <xdr:row>1381</xdr:row>
      <xdr:rowOff>498475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6765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1381</xdr:row>
      <xdr:rowOff>257175</xdr:rowOff>
    </xdr:from>
    <xdr:to>
      <xdr:col>10</xdr:col>
      <xdr:colOff>514350</xdr:colOff>
      <xdr:row>1381</xdr:row>
      <xdr:rowOff>476250</xdr:rowOff>
    </xdr:to>
    <xdr:pic>
      <xdr:nvPicPr>
        <xdr:cNvPr id="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674285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1409</xdr:row>
      <xdr:rowOff>279400</xdr:rowOff>
    </xdr:from>
    <xdr:to>
      <xdr:col>10</xdr:col>
      <xdr:colOff>196850</xdr:colOff>
      <xdr:row>1409</xdr:row>
      <xdr:rowOff>498475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8899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1409</xdr:row>
      <xdr:rowOff>257175</xdr:rowOff>
    </xdr:from>
    <xdr:to>
      <xdr:col>10</xdr:col>
      <xdr:colOff>514350</xdr:colOff>
      <xdr:row>1409</xdr:row>
      <xdr:rowOff>476250</xdr:rowOff>
    </xdr:to>
    <xdr:pic>
      <xdr:nvPicPr>
        <xdr:cNvPr id="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88974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1437</xdr:row>
      <xdr:rowOff>279400</xdr:rowOff>
    </xdr:from>
    <xdr:to>
      <xdr:col>10</xdr:col>
      <xdr:colOff>196850</xdr:colOff>
      <xdr:row>1437</xdr:row>
      <xdr:rowOff>498475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1053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1437</xdr:row>
      <xdr:rowOff>257175</xdr:rowOff>
    </xdr:from>
    <xdr:to>
      <xdr:col>10</xdr:col>
      <xdr:colOff>514350</xdr:colOff>
      <xdr:row>1437</xdr:row>
      <xdr:rowOff>476250</xdr:rowOff>
    </xdr:to>
    <xdr:pic>
      <xdr:nvPicPr>
        <xdr:cNvPr id="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1051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1451</xdr:row>
      <xdr:rowOff>279400</xdr:rowOff>
    </xdr:from>
    <xdr:to>
      <xdr:col>10</xdr:col>
      <xdr:colOff>196850</xdr:colOff>
      <xdr:row>1451</xdr:row>
      <xdr:rowOff>498475</xdr:rowOff>
    </xdr:to>
    <xdr:pic>
      <xdr:nvPicPr>
        <xdr:cNvPr id="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222196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1451</xdr:row>
      <xdr:rowOff>257175</xdr:rowOff>
    </xdr:from>
    <xdr:to>
      <xdr:col>10</xdr:col>
      <xdr:colOff>514350</xdr:colOff>
      <xdr:row>1451</xdr:row>
      <xdr:rowOff>476250</xdr:rowOff>
    </xdr:to>
    <xdr:pic>
      <xdr:nvPicPr>
        <xdr:cNvPr id="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22197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162</xdr:row>
      <xdr:rowOff>257175</xdr:rowOff>
    </xdr:from>
    <xdr:to>
      <xdr:col>3</xdr:col>
      <xdr:colOff>514350</xdr:colOff>
      <xdr:row>162</xdr:row>
      <xdr:rowOff>476250</xdr:rowOff>
    </xdr:to>
    <xdr:pic>
      <xdr:nvPicPr>
        <xdr:cNvPr id="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243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182</xdr:row>
      <xdr:rowOff>0</xdr:rowOff>
    </xdr:from>
    <xdr:to>
      <xdr:col>3</xdr:col>
      <xdr:colOff>196850</xdr:colOff>
      <xdr:row>182</xdr:row>
      <xdr:rowOff>0</xdr:rowOff>
    </xdr:to>
    <xdr:pic>
      <xdr:nvPicPr>
        <xdr:cNvPr id="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7398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1481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125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58156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5793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283</xdr:row>
      <xdr:rowOff>279400</xdr:rowOff>
    </xdr:from>
    <xdr:to>
      <xdr:col>3</xdr:col>
      <xdr:colOff>196850</xdr:colOff>
      <xdr:row>283</xdr:row>
      <xdr:rowOff>498475</xdr:rowOff>
    </xdr:to>
    <xdr:pic>
      <xdr:nvPicPr>
        <xdr:cNvPr id="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440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283</xdr:row>
      <xdr:rowOff>257175</xdr:rowOff>
    </xdr:from>
    <xdr:to>
      <xdr:col>3</xdr:col>
      <xdr:colOff>514350</xdr:colOff>
      <xdr:row>283</xdr:row>
      <xdr:rowOff>476250</xdr:rowOff>
    </xdr:to>
    <xdr:pic>
      <xdr:nvPicPr>
        <xdr:cNvPr id="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4379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296</xdr:row>
      <xdr:rowOff>279400</xdr:rowOff>
    </xdr:from>
    <xdr:to>
      <xdr:col>3</xdr:col>
      <xdr:colOff>196850</xdr:colOff>
      <xdr:row>296</xdr:row>
      <xdr:rowOff>498475</xdr:rowOff>
    </xdr:to>
    <xdr:pic>
      <xdr:nvPicPr>
        <xdr:cNvPr id="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3821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296</xdr:row>
      <xdr:rowOff>257175</xdr:rowOff>
    </xdr:from>
    <xdr:to>
      <xdr:col>3</xdr:col>
      <xdr:colOff>514350</xdr:colOff>
      <xdr:row>296</xdr:row>
      <xdr:rowOff>476250</xdr:rowOff>
    </xdr:to>
    <xdr:pic>
      <xdr:nvPicPr>
        <xdr:cNvPr id="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3799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306</xdr:row>
      <xdr:rowOff>279400</xdr:rowOff>
    </xdr:from>
    <xdr:to>
      <xdr:col>3</xdr:col>
      <xdr:colOff>196850</xdr:colOff>
      <xdr:row>306</xdr:row>
      <xdr:rowOff>498475</xdr:rowOff>
    </xdr:to>
    <xdr:pic>
      <xdr:nvPicPr>
        <xdr:cNvPr id="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0346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306</xdr:row>
      <xdr:rowOff>257175</xdr:rowOff>
    </xdr:from>
    <xdr:to>
      <xdr:col>3</xdr:col>
      <xdr:colOff>514350</xdr:colOff>
      <xdr:row>306</xdr:row>
      <xdr:rowOff>476250</xdr:rowOff>
    </xdr:to>
    <xdr:pic>
      <xdr:nvPicPr>
        <xdr:cNvPr id="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0324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326</xdr:row>
      <xdr:rowOff>279400</xdr:rowOff>
    </xdr:from>
    <xdr:to>
      <xdr:col>3</xdr:col>
      <xdr:colOff>196850</xdr:colOff>
      <xdr:row>326</xdr:row>
      <xdr:rowOff>498475</xdr:rowOff>
    </xdr:to>
    <xdr:pic>
      <xdr:nvPicPr>
        <xdr:cNvPr id="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4595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326</xdr:row>
      <xdr:rowOff>257175</xdr:rowOff>
    </xdr:from>
    <xdr:to>
      <xdr:col>3</xdr:col>
      <xdr:colOff>514350</xdr:colOff>
      <xdr:row>326</xdr:row>
      <xdr:rowOff>476250</xdr:rowOff>
    </xdr:to>
    <xdr:pic>
      <xdr:nvPicPr>
        <xdr:cNvPr id="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4573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336</xdr:row>
      <xdr:rowOff>279400</xdr:rowOff>
    </xdr:from>
    <xdr:to>
      <xdr:col>3</xdr:col>
      <xdr:colOff>196850</xdr:colOff>
      <xdr:row>336</xdr:row>
      <xdr:rowOff>498475</xdr:rowOff>
    </xdr:to>
    <xdr:pic>
      <xdr:nvPicPr>
        <xdr:cNvPr id="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113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336</xdr:row>
      <xdr:rowOff>257175</xdr:rowOff>
    </xdr:from>
    <xdr:to>
      <xdr:col>3</xdr:col>
      <xdr:colOff>514350</xdr:colOff>
      <xdr:row>336</xdr:row>
      <xdr:rowOff>476250</xdr:rowOff>
    </xdr:to>
    <xdr:pic>
      <xdr:nvPicPr>
        <xdr:cNvPr id="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111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356</xdr:row>
      <xdr:rowOff>279400</xdr:rowOff>
    </xdr:from>
    <xdr:to>
      <xdr:col>3</xdr:col>
      <xdr:colOff>196850</xdr:colOff>
      <xdr:row>356</xdr:row>
      <xdr:rowOff>498475</xdr:rowOff>
    </xdr:to>
    <xdr:pic>
      <xdr:nvPicPr>
        <xdr:cNvPr id="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5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356</xdr:row>
      <xdr:rowOff>257175</xdr:rowOff>
    </xdr:from>
    <xdr:to>
      <xdr:col>3</xdr:col>
      <xdr:colOff>514350</xdr:colOff>
      <xdr:row>356</xdr:row>
      <xdr:rowOff>476250</xdr:rowOff>
    </xdr:to>
    <xdr:pic>
      <xdr:nvPicPr>
        <xdr:cNvPr id="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5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365</xdr:row>
      <xdr:rowOff>279400</xdr:rowOff>
    </xdr:from>
    <xdr:to>
      <xdr:col>3</xdr:col>
      <xdr:colOff>196850</xdr:colOff>
      <xdr:row>365</xdr:row>
      <xdr:rowOff>498475</xdr:rowOff>
    </xdr:to>
    <xdr:pic>
      <xdr:nvPicPr>
        <xdr:cNvPr id="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150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365</xdr:row>
      <xdr:rowOff>257175</xdr:rowOff>
    </xdr:from>
    <xdr:to>
      <xdr:col>3</xdr:col>
      <xdr:colOff>514350</xdr:colOff>
      <xdr:row>365</xdr:row>
      <xdr:rowOff>476250</xdr:rowOff>
    </xdr:to>
    <xdr:pic>
      <xdr:nvPicPr>
        <xdr:cNvPr id="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148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375</xdr:row>
      <xdr:rowOff>279400</xdr:rowOff>
    </xdr:from>
    <xdr:to>
      <xdr:col>3</xdr:col>
      <xdr:colOff>196850</xdr:colOff>
      <xdr:row>375</xdr:row>
      <xdr:rowOff>498475</xdr:rowOff>
    </xdr:to>
    <xdr:pic>
      <xdr:nvPicPr>
        <xdr:cNvPr id="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8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375</xdr:row>
      <xdr:rowOff>257175</xdr:rowOff>
    </xdr:from>
    <xdr:to>
      <xdr:col>3</xdr:col>
      <xdr:colOff>514350</xdr:colOff>
      <xdr:row>375</xdr:row>
      <xdr:rowOff>476250</xdr:rowOff>
    </xdr:to>
    <xdr:pic>
      <xdr:nvPicPr>
        <xdr:cNvPr id="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801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384</xdr:row>
      <xdr:rowOff>279400</xdr:rowOff>
    </xdr:from>
    <xdr:to>
      <xdr:col>3</xdr:col>
      <xdr:colOff>196850</xdr:colOff>
      <xdr:row>384</xdr:row>
      <xdr:rowOff>498475</xdr:rowOff>
    </xdr:to>
    <xdr:pic>
      <xdr:nvPicPr>
        <xdr:cNvPr id="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416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384</xdr:row>
      <xdr:rowOff>257175</xdr:rowOff>
    </xdr:from>
    <xdr:to>
      <xdr:col>3</xdr:col>
      <xdr:colOff>514350</xdr:colOff>
      <xdr:row>384</xdr:row>
      <xdr:rowOff>476250</xdr:rowOff>
    </xdr:to>
    <xdr:pic>
      <xdr:nvPicPr>
        <xdr:cNvPr id="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41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394</xdr:row>
      <xdr:rowOff>279400</xdr:rowOff>
    </xdr:from>
    <xdr:to>
      <xdr:col>3</xdr:col>
      <xdr:colOff>196850</xdr:colOff>
      <xdr:row>394</xdr:row>
      <xdr:rowOff>498475</xdr:rowOff>
    </xdr:to>
    <xdr:pic>
      <xdr:nvPicPr>
        <xdr:cNvPr id="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0525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394</xdr:row>
      <xdr:rowOff>257175</xdr:rowOff>
    </xdr:from>
    <xdr:to>
      <xdr:col>3</xdr:col>
      <xdr:colOff>514350</xdr:colOff>
      <xdr:row>394</xdr:row>
      <xdr:rowOff>476250</xdr:rowOff>
    </xdr:to>
    <xdr:pic>
      <xdr:nvPicPr>
        <xdr:cNvPr id="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0502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403</xdr:row>
      <xdr:rowOff>279400</xdr:rowOff>
    </xdr:from>
    <xdr:to>
      <xdr:col>3</xdr:col>
      <xdr:colOff>196850</xdr:colOff>
      <xdr:row>403</xdr:row>
      <xdr:rowOff>498475</xdr:rowOff>
    </xdr:to>
    <xdr:pic>
      <xdr:nvPicPr>
        <xdr:cNvPr id="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6859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403</xdr:row>
      <xdr:rowOff>257175</xdr:rowOff>
    </xdr:from>
    <xdr:to>
      <xdr:col>3</xdr:col>
      <xdr:colOff>514350</xdr:colOff>
      <xdr:row>403</xdr:row>
      <xdr:rowOff>476250</xdr:rowOff>
    </xdr:to>
    <xdr:pic>
      <xdr:nvPicPr>
        <xdr:cNvPr id="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683710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431</xdr:row>
      <xdr:rowOff>279400</xdr:rowOff>
    </xdr:from>
    <xdr:to>
      <xdr:col>3</xdr:col>
      <xdr:colOff>196850</xdr:colOff>
      <xdr:row>431</xdr:row>
      <xdr:rowOff>498475</xdr:rowOff>
    </xdr:to>
    <xdr:pic>
      <xdr:nvPicPr>
        <xdr:cNvPr id="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047180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431</xdr:row>
      <xdr:rowOff>257175</xdr:rowOff>
    </xdr:from>
    <xdr:to>
      <xdr:col>3</xdr:col>
      <xdr:colOff>514350</xdr:colOff>
      <xdr:row>431</xdr:row>
      <xdr:rowOff>476250</xdr:rowOff>
    </xdr:to>
    <xdr:pic>
      <xdr:nvPicPr>
        <xdr:cNvPr id="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0449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101600</xdr:colOff>
      <xdr:row>459</xdr:row>
      <xdr:rowOff>320221</xdr:rowOff>
    </xdr:from>
    <xdr:to>
      <xdr:col>3</xdr:col>
      <xdr:colOff>292100</xdr:colOff>
      <xdr:row>459</xdr:row>
      <xdr:rowOff>539296</xdr:rowOff>
    </xdr:to>
    <xdr:pic>
      <xdr:nvPicPr>
        <xdr:cNvPr id="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2050" y="342734446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376918</xdr:colOff>
      <xdr:row>459</xdr:row>
      <xdr:rowOff>325211</xdr:rowOff>
    </xdr:from>
    <xdr:to>
      <xdr:col>3</xdr:col>
      <xdr:colOff>595993</xdr:colOff>
      <xdr:row>459</xdr:row>
      <xdr:rowOff>544286</xdr:rowOff>
    </xdr:to>
    <xdr:pic>
      <xdr:nvPicPr>
        <xdr:cNvPr id="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77368" y="342739436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490</xdr:row>
      <xdr:rowOff>279400</xdr:rowOff>
    </xdr:from>
    <xdr:to>
      <xdr:col>3</xdr:col>
      <xdr:colOff>196850</xdr:colOff>
      <xdr:row>490</xdr:row>
      <xdr:rowOff>498475</xdr:rowOff>
    </xdr:to>
    <xdr:pic>
      <xdr:nvPicPr>
        <xdr:cNvPr id="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622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490</xdr:row>
      <xdr:rowOff>257175</xdr:rowOff>
    </xdr:from>
    <xdr:to>
      <xdr:col>3</xdr:col>
      <xdr:colOff>514350</xdr:colOff>
      <xdr:row>490</xdr:row>
      <xdr:rowOff>476250</xdr:rowOff>
    </xdr:to>
    <xdr:pic>
      <xdr:nvPicPr>
        <xdr:cNvPr id="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620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527</xdr:row>
      <xdr:rowOff>279400</xdr:rowOff>
    </xdr:from>
    <xdr:to>
      <xdr:col>3</xdr:col>
      <xdr:colOff>196850</xdr:colOff>
      <xdr:row>527</xdr:row>
      <xdr:rowOff>498475</xdr:rowOff>
    </xdr:to>
    <xdr:pic>
      <xdr:nvPicPr>
        <xdr:cNvPr id="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547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527</xdr:row>
      <xdr:rowOff>257175</xdr:rowOff>
    </xdr:from>
    <xdr:to>
      <xdr:col>3</xdr:col>
      <xdr:colOff>514350</xdr:colOff>
      <xdr:row>527</xdr:row>
      <xdr:rowOff>476250</xdr:rowOff>
    </xdr:to>
    <xdr:pic>
      <xdr:nvPicPr>
        <xdr:cNvPr id="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5449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555</xdr:row>
      <xdr:rowOff>279400</xdr:rowOff>
    </xdr:from>
    <xdr:to>
      <xdr:col>3</xdr:col>
      <xdr:colOff>196850</xdr:colOff>
      <xdr:row>555</xdr:row>
      <xdr:rowOff>498475</xdr:rowOff>
    </xdr:to>
    <xdr:pic>
      <xdr:nvPicPr>
        <xdr:cNvPr id="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17026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555</xdr:row>
      <xdr:rowOff>257175</xdr:rowOff>
    </xdr:from>
    <xdr:to>
      <xdr:col>3</xdr:col>
      <xdr:colOff>514350</xdr:colOff>
      <xdr:row>555</xdr:row>
      <xdr:rowOff>476250</xdr:rowOff>
    </xdr:to>
    <xdr:pic>
      <xdr:nvPicPr>
        <xdr:cNvPr id="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17004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583</xdr:row>
      <xdr:rowOff>279400</xdr:rowOff>
    </xdr:from>
    <xdr:to>
      <xdr:col>3</xdr:col>
      <xdr:colOff>196850</xdr:colOff>
      <xdr:row>583</xdr:row>
      <xdr:rowOff>498475</xdr:rowOff>
    </xdr:to>
    <xdr:pic>
      <xdr:nvPicPr>
        <xdr:cNvPr id="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39496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583</xdr:row>
      <xdr:rowOff>257175</xdr:rowOff>
    </xdr:from>
    <xdr:to>
      <xdr:col>3</xdr:col>
      <xdr:colOff>514350</xdr:colOff>
      <xdr:row>583</xdr:row>
      <xdr:rowOff>476250</xdr:rowOff>
    </xdr:to>
    <xdr:pic>
      <xdr:nvPicPr>
        <xdr:cNvPr id="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39473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611</xdr:row>
      <xdr:rowOff>279400</xdr:rowOff>
    </xdr:from>
    <xdr:to>
      <xdr:col>3</xdr:col>
      <xdr:colOff>196850</xdr:colOff>
      <xdr:row>611</xdr:row>
      <xdr:rowOff>498475</xdr:rowOff>
    </xdr:to>
    <xdr:pic>
      <xdr:nvPicPr>
        <xdr:cNvPr id="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60936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611</xdr:row>
      <xdr:rowOff>257175</xdr:rowOff>
    </xdr:from>
    <xdr:to>
      <xdr:col>3</xdr:col>
      <xdr:colOff>514350</xdr:colOff>
      <xdr:row>611</xdr:row>
      <xdr:rowOff>476250</xdr:rowOff>
    </xdr:to>
    <xdr:pic>
      <xdr:nvPicPr>
        <xdr:cNvPr id="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60914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642</xdr:row>
      <xdr:rowOff>279400</xdr:rowOff>
    </xdr:from>
    <xdr:to>
      <xdr:col>3</xdr:col>
      <xdr:colOff>196850</xdr:colOff>
      <xdr:row>642</xdr:row>
      <xdr:rowOff>498475</xdr:rowOff>
    </xdr:to>
    <xdr:pic>
      <xdr:nvPicPr>
        <xdr:cNvPr id="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7949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642</xdr:row>
      <xdr:rowOff>257175</xdr:rowOff>
    </xdr:from>
    <xdr:to>
      <xdr:col>3</xdr:col>
      <xdr:colOff>514350</xdr:colOff>
      <xdr:row>642</xdr:row>
      <xdr:rowOff>476250</xdr:rowOff>
    </xdr:to>
    <xdr:pic>
      <xdr:nvPicPr>
        <xdr:cNvPr id="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792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670</xdr:row>
      <xdr:rowOff>279400</xdr:rowOff>
    </xdr:from>
    <xdr:to>
      <xdr:col>3</xdr:col>
      <xdr:colOff>196850</xdr:colOff>
      <xdr:row>670</xdr:row>
      <xdr:rowOff>498475</xdr:rowOff>
    </xdr:to>
    <xdr:pic>
      <xdr:nvPicPr>
        <xdr:cNvPr id="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0891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670</xdr:row>
      <xdr:rowOff>257175</xdr:rowOff>
    </xdr:from>
    <xdr:to>
      <xdr:col>3</xdr:col>
      <xdr:colOff>514350</xdr:colOff>
      <xdr:row>670</xdr:row>
      <xdr:rowOff>476250</xdr:rowOff>
    </xdr:to>
    <xdr:pic>
      <xdr:nvPicPr>
        <xdr:cNvPr id="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0889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698</xdr:row>
      <xdr:rowOff>279400</xdr:rowOff>
    </xdr:from>
    <xdr:to>
      <xdr:col>3</xdr:col>
      <xdr:colOff>196850</xdr:colOff>
      <xdr:row>698</xdr:row>
      <xdr:rowOff>498475</xdr:rowOff>
    </xdr:to>
    <xdr:pic>
      <xdr:nvPicPr>
        <xdr:cNvPr id="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06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698</xdr:row>
      <xdr:rowOff>257175</xdr:rowOff>
    </xdr:from>
    <xdr:to>
      <xdr:col>3</xdr:col>
      <xdr:colOff>514350</xdr:colOff>
      <xdr:row>698</xdr:row>
      <xdr:rowOff>476250</xdr:rowOff>
    </xdr:to>
    <xdr:pic>
      <xdr:nvPicPr>
        <xdr:cNvPr id="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0609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726</xdr:row>
      <xdr:rowOff>279400</xdr:rowOff>
    </xdr:from>
    <xdr:to>
      <xdr:col>3</xdr:col>
      <xdr:colOff>196850</xdr:colOff>
      <xdr:row>726</xdr:row>
      <xdr:rowOff>498475</xdr:rowOff>
    </xdr:to>
    <xdr:pic>
      <xdr:nvPicPr>
        <xdr:cNvPr id="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224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726</xdr:row>
      <xdr:rowOff>257175</xdr:rowOff>
    </xdr:from>
    <xdr:to>
      <xdr:col>3</xdr:col>
      <xdr:colOff>514350</xdr:colOff>
      <xdr:row>726</xdr:row>
      <xdr:rowOff>476250</xdr:rowOff>
    </xdr:to>
    <xdr:pic>
      <xdr:nvPicPr>
        <xdr:cNvPr id="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5222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754</xdr:row>
      <xdr:rowOff>279400</xdr:rowOff>
    </xdr:from>
    <xdr:to>
      <xdr:col>3</xdr:col>
      <xdr:colOff>196850</xdr:colOff>
      <xdr:row>754</xdr:row>
      <xdr:rowOff>498475</xdr:rowOff>
    </xdr:to>
    <xdr:pic>
      <xdr:nvPicPr>
        <xdr:cNvPr id="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4541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754</xdr:row>
      <xdr:rowOff>257175</xdr:rowOff>
    </xdr:from>
    <xdr:to>
      <xdr:col>3</xdr:col>
      <xdr:colOff>514350</xdr:colOff>
      <xdr:row>754</xdr:row>
      <xdr:rowOff>476250</xdr:rowOff>
    </xdr:to>
    <xdr:pic>
      <xdr:nvPicPr>
        <xdr:cNvPr id="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4519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782</xdr:row>
      <xdr:rowOff>279400</xdr:rowOff>
    </xdr:from>
    <xdr:to>
      <xdr:col>3</xdr:col>
      <xdr:colOff>196850</xdr:colOff>
      <xdr:row>782</xdr:row>
      <xdr:rowOff>498475</xdr:rowOff>
    </xdr:to>
    <xdr:pic>
      <xdr:nvPicPr>
        <xdr:cNvPr id="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5763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782</xdr:row>
      <xdr:rowOff>257175</xdr:rowOff>
    </xdr:from>
    <xdr:to>
      <xdr:col>3</xdr:col>
      <xdr:colOff>514350</xdr:colOff>
      <xdr:row>782</xdr:row>
      <xdr:rowOff>476250</xdr:rowOff>
    </xdr:to>
    <xdr:pic>
      <xdr:nvPicPr>
        <xdr:cNvPr id="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5741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810</xdr:row>
      <xdr:rowOff>279400</xdr:rowOff>
    </xdr:from>
    <xdr:to>
      <xdr:col>3</xdr:col>
      <xdr:colOff>196850</xdr:colOff>
      <xdr:row>810</xdr:row>
      <xdr:rowOff>498475</xdr:rowOff>
    </xdr:to>
    <xdr:pic>
      <xdr:nvPicPr>
        <xdr:cNvPr id="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7575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810</xdr:row>
      <xdr:rowOff>257175</xdr:rowOff>
    </xdr:from>
    <xdr:to>
      <xdr:col>3</xdr:col>
      <xdr:colOff>514350</xdr:colOff>
      <xdr:row>810</xdr:row>
      <xdr:rowOff>476250</xdr:rowOff>
    </xdr:to>
    <xdr:pic>
      <xdr:nvPicPr>
        <xdr:cNvPr id="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17553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838</xdr:row>
      <xdr:rowOff>279400</xdr:rowOff>
    </xdr:from>
    <xdr:to>
      <xdr:col>3</xdr:col>
      <xdr:colOff>196850</xdr:colOff>
      <xdr:row>838</xdr:row>
      <xdr:rowOff>498475</xdr:rowOff>
    </xdr:to>
    <xdr:pic>
      <xdr:nvPicPr>
        <xdr:cNvPr id="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0988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838</xdr:row>
      <xdr:rowOff>257175</xdr:rowOff>
    </xdr:from>
    <xdr:to>
      <xdr:col>3</xdr:col>
      <xdr:colOff>514350</xdr:colOff>
      <xdr:row>838</xdr:row>
      <xdr:rowOff>476250</xdr:rowOff>
    </xdr:to>
    <xdr:pic>
      <xdr:nvPicPr>
        <xdr:cNvPr id="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0965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866</xdr:row>
      <xdr:rowOff>279400</xdr:rowOff>
    </xdr:from>
    <xdr:to>
      <xdr:col>3</xdr:col>
      <xdr:colOff>196850</xdr:colOff>
      <xdr:row>866</xdr:row>
      <xdr:rowOff>498475</xdr:rowOff>
    </xdr:to>
    <xdr:pic>
      <xdr:nvPicPr>
        <xdr:cNvPr id="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325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866</xdr:row>
      <xdr:rowOff>257175</xdr:rowOff>
    </xdr:from>
    <xdr:to>
      <xdr:col>3</xdr:col>
      <xdr:colOff>514350</xdr:colOff>
      <xdr:row>866</xdr:row>
      <xdr:rowOff>476250</xdr:rowOff>
    </xdr:to>
    <xdr:pic>
      <xdr:nvPicPr>
        <xdr:cNvPr id="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323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890</xdr:row>
      <xdr:rowOff>279400</xdr:rowOff>
    </xdr:from>
    <xdr:to>
      <xdr:col>3</xdr:col>
      <xdr:colOff>196850</xdr:colOff>
      <xdr:row>890</xdr:row>
      <xdr:rowOff>498475</xdr:rowOff>
    </xdr:to>
    <xdr:pic>
      <xdr:nvPicPr>
        <xdr:cNvPr id="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2821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890</xdr:row>
      <xdr:rowOff>257175</xdr:rowOff>
    </xdr:from>
    <xdr:to>
      <xdr:col>3</xdr:col>
      <xdr:colOff>514350</xdr:colOff>
      <xdr:row>890</xdr:row>
      <xdr:rowOff>476250</xdr:rowOff>
    </xdr:to>
    <xdr:pic>
      <xdr:nvPicPr>
        <xdr:cNvPr id="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2799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918</xdr:row>
      <xdr:rowOff>279400</xdr:rowOff>
    </xdr:from>
    <xdr:to>
      <xdr:col>3</xdr:col>
      <xdr:colOff>196850</xdr:colOff>
      <xdr:row>918</xdr:row>
      <xdr:rowOff>498475</xdr:rowOff>
    </xdr:to>
    <xdr:pic>
      <xdr:nvPicPr>
        <xdr:cNvPr id="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4824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918</xdr:row>
      <xdr:rowOff>257175</xdr:rowOff>
    </xdr:from>
    <xdr:to>
      <xdr:col>3</xdr:col>
      <xdr:colOff>514350</xdr:colOff>
      <xdr:row>918</xdr:row>
      <xdr:rowOff>476250</xdr:rowOff>
    </xdr:to>
    <xdr:pic>
      <xdr:nvPicPr>
        <xdr:cNvPr id="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4802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946</xdr:row>
      <xdr:rowOff>279400</xdr:rowOff>
    </xdr:from>
    <xdr:to>
      <xdr:col>3</xdr:col>
      <xdr:colOff>196850</xdr:colOff>
      <xdr:row>946</xdr:row>
      <xdr:rowOff>498475</xdr:rowOff>
    </xdr:to>
    <xdr:pic>
      <xdr:nvPicPr>
        <xdr:cNvPr id="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7513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946</xdr:row>
      <xdr:rowOff>257175</xdr:rowOff>
    </xdr:from>
    <xdr:to>
      <xdr:col>3</xdr:col>
      <xdr:colOff>514350</xdr:colOff>
      <xdr:row>946</xdr:row>
      <xdr:rowOff>476250</xdr:rowOff>
    </xdr:to>
    <xdr:pic>
      <xdr:nvPicPr>
        <xdr:cNvPr id="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27490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983</xdr:row>
      <xdr:rowOff>279400</xdr:rowOff>
    </xdr:from>
    <xdr:to>
      <xdr:col>3</xdr:col>
      <xdr:colOff>196850</xdr:colOff>
      <xdr:row>983</xdr:row>
      <xdr:rowOff>498475</xdr:rowOff>
    </xdr:to>
    <xdr:pic>
      <xdr:nvPicPr>
        <xdr:cNvPr id="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6459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983</xdr:row>
      <xdr:rowOff>257175</xdr:rowOff>
    </xdr:from>
    <xdr:to>
      <xdr:col>3</xdr:col>
      <xdr:colOff>514350</xdr:colOff>
      <xdr:row>983</xdr:row>
      <xdr:rowOff>476250</xdr:rowOff>
    </xdr:to>
    <xdr:pic>
      <xdr:nvPicPr>
        <xdr:cNvPr id="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6437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1011</xdr:row>
      <xdr:rowOff>279400</xdr:rowOff>
    </xdr:from>
    <xdr:to>
      <xdr:col>3</xdr:col>
      <xdr:colOff>196850</xdr:colOff>
      <xdr:row>1011</xdr:row>
      <xdr:rowOff>498475</xdr:rowOff>
    </xdr:to>
    <xdr:pic>
      <xdr:nvPicPr>
        <xdr:cNvPr id="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797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1011</xdr:row>
      <xdr:rowOff>257175</xdr:rowOff>
    </xdr:from>
    <xdr:to>
      <xdr:col>3</xdr:col>
      <xdr:colOff>514350</xdr:colOff>
      <xdr:row>1011</xdr:row>
      <xdr:rowOff>476250</xdr:rowOff>
    </xdr:to>
    <xdr:pic>
      <xdr:nvPicPr>
        <xdr:cNvPr id="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795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1039</xdr:row>
      <xdr:rowOff>279400</xdr:rowOff>
    </xdr:from>
    <xdr:to>
      <xdr:col>3</xdr:col>
      <xdr:colOff>196850</xdr:colOff>
      <xdr:row>1039</xdr:row>
      <xdr:rowOff>498475</xdr:rowOff>
    </xdr:to>
    <xdr:pic>
      <xdr:nvPicPr>
        <xdr:cNvPr id="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968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1039</xdr:row>
      <xdr:rowOff>257175</xdr:rowOff>
    </xdr:from>
    <xdr:to>
      <xdr:col>3</xdr:col>
      <xdr:colOff>514350</xdr:colOff>
      <xdr:row>1039</xdr:row>
      <xdr:rowOff>476250</xdr:rowOff>
    </xdr:to>
    <xdr:pic>
      <xdr:nvPicPr>
        <xdr:cNvPr id="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966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1073</xdr:row>
      <xdr:rowOff>279400</xdr:rowOff>
    </xdr:from>
    <xdr:to>
      <xdr:col>3</xdr:col>
      <xdr:colOff>196850</xdr:colOff>
      <xdr:row>1073</xdr:row>
      <xdr:rowOff>498475</xdr:rowOff>
    </xdr:to>
    <xdr:pic>
      <xdr:nvPicPr>
        <xdr:cNvPr id="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542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1073</xdr:row>
      <xdr:rowOff>257175</xdr:rowOff>
    </xdr:from>
    <xdr:to>
      <xdr:col>3</xdr:col>
      <xdr:colOff>514350</xdr:colOff>
      <xdr:row>1073</xdr:row>
      <xdr:rowOff>476250</xdr:rowOff>
    </xdr:to>
    <xdr:pic>
      <xdr:nvPicPr>
        <xdr:cNvPr id="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539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1101</xdr:row>
      <xdr:rowOff>279400</xdr:rowOff>
    </xdr:from>
    <xdr:to>
      <xdr:col>3</xdr:col>
      <xdr:colOff>196850</xdr:colOff>
      <xdr:row>1101</xdr:row>
      <xdr:rowOff>498475</xdr:rowOff>
    </xdr:to>
    <xdr:pic>
      <xdr:nvPicPr>
        <xdr:cNvPr id="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7471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1101</xdr:row>
      <xdr:rowOff>257175</xdr:rowOff>
    </xdr:from>
    <xdr:to>
      <xdr:col>3</xdr:col>
      <xdr:colOff>514350</xdr:colOff>
      <xdr:row>1101</xdr:row>
      <xdr:rowOff>476250</xdr:rowOff>
    </xdr:to>
    <xdr:pic>
      <xdr:nvPicPr>
        <xdr:cNvPr id="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47448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1129</xdr:row>
      <xdr:rowOff>279400</xdr:rowOff>
    </xdr:from>
    <xdr:to>
      <xdr:col>3</xdr:col>
      <xdr:colOff>196850</xdr:colOff>
      <xdr:row>1129</xdr:row>
      <xdr:rowOff>498475</xdr:rowOff>
    </xdr:to>
    <xdr:pic>
      <xdr:nvPicPr>
        <xdr:cNvPr id="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96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1129</xdr:row>
      <xdr:rowOff>257175</xdr:rowOff>
    </xdr:from>
    <xdr:to>
      <xdr:col>3</xdr:col>
      <xdr:colOff>514350</xdr:colOff>
      <xdr:row>1129</xdr:row>
      <xdr:rowOff>476250</xdr:rowOff>
    </xdr:to>
    <xdr:pic>
      <xdr:nvPicPr>
        <xdr:cNvPr id="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9613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1157</xdr:row>
      <xdr:rowOff>279400</xdr:rowOff>
    </xdr:from>
    <xdr:to>
      <xdr:col>3</xdr:col>
      <xdr:colOff>196850</xdr:colOff>
      <xdr:row>1157</xdr:row>
      <xdr:rowOff>498475</xdr:rowOff>
    </xdr:to>
    <xdr:pic>
      <xdr:nvPicPr>
        <xdr:cNvPr id="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051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1157</xdr:row>
      <xdr:rowOff>257175</xdr:rowOff>
    </xdr:from>
    <xdr:to>
      <xdr:col>3</xdr:col>
      <xdr:colOff>514350</xdr:colOff>
      <xdr:row>1157</xdr:row>
      <xdr:rowOff>476250</xdr:rowOff>
    </xdr:to>
    <xdr:pic>
      <xdr:nvPicPr>
        <xdr:cNvPr id="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0492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1213</xdr:row>
      <xdr:rowOff>279400</xdr:rowOff>
    </xdr:from>
    <xdr:to>
      <xdr:col>3</xdr:col>
      <xdr:colOff>196850</xdr:colOff>
      <xdr:row>1213</xdr:row>
      <xdr:rowOff>498475</xdr:rowOff>
    </xdr:to>
    <xdr:pic>
      <xdr:nvPicPr>
        <xdr:cNvPr id="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636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1213</xdr:row>
      <xdr:rowOff>257175</xdr:rowOff>
    </xdr:from>
    <xdr:to>
      <xdr:col>3</xdr:col>
      <xdr:colOff>514350</xdr:colOff>
      <xdr:row>1213</xdr:row>
      <xdr:rowOff>476250</xdr:rowOff>
    </xdr:to>
    <xdr:pic>
      <xdr:nvPicPr>
        <xdr:cNvPr id="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634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1241</xdr:row>
      <xdr:rowOff>279400</xdr:rowOff>
    </xdr:from>
    <xdr:to>
      <xdr:col>3</xdr:col>
      <xdr:colOff>196850</xdr:colOff>
      <xdr:row>1241</xdr:row>
      <xdr:rowOff>498475</xdr:rowOff>
    </xdr:to>
    <xdr:pic>
      <xdr:nvPicPr>
        <xdr:cNvPr id="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803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1241</xdr:row>
      <xdr:rowOff>257175</xdr:rowOff>
    </xdr:from>
    <xdr:to>
      <xdr:col>3</xdr:col>
      <xdr:colOff>514350</xdr:colOff>
      <xdr:row>1241</xdr:row>
      <xdr:rowOff>476250</xdr:rowOff>
    </xdr:to>
    <xdr:pic>
      <xdr:nvPicPr>
        <xdr:cNvPr id="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8014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1269</xdr:row>
      <xdr:rowOff>279400</xdr:rowOff>
    </xdr:from>
    <xdr:to>
      <xdr:col>3</xdr:col>
      <xdr:colOff>196850</xdr:colOff>
      <xdr:row>1269</xdr:row>
      <xdr:rowOff>498475</xdr:rowOff>
    </xdr:to>
    <xdr:pic>
      <xdr:nvPicPr>
        <xdr:cNvPr id="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79973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1269</xdr:row>
      <xdr:rowOff>257175</xdr:rowOff>
    </xdr:from>
    <xdr:to>
      <xdr:col>3</xdr:col>
      <xdr:colOff>514350</xdr:colOff>
      <xdr:row>1269</xdr:row>
      <xdr:rowOff>476250</xdr:rowOff>
    </xdr:to>
    <xdr:pic>
      <xdr:nvPicPr>
        <xdr:cNvPr id="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79951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1297</xdr:row>
      <xdr:rowOff>279400</xdr:rowOff>
    </xdr:from>
    <xdr:to>
      <xdr:col>3</xdr:col>
      <xdr:colOff>196850</xdr:colOff>
      <xdr:row>1297</xdr:row>
      <xdr:rowOff>498475</xdr:rowOff>
    </xdr:to>
    <xdr:pic>
      <xdr:nvPicPr>
        <xdr:cNvPr id="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168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1297</xdr:row>
      <xdr:rowOff>257175</xdr:rowOff>
    </xdr:from>
    <xdr:to>
      <xdr:col>3</xdr:col>
      <xdr:colOff>514350</xdr:colOff>
      <xdr:row>1297</xdr:row>
      <xdr:rowOff>476250</xdr:rowOff>
    </xdr:to>
    <xdr:pic>
      <xdr:nvPicPr>
        <xdr:cNvPr id="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165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1325</xdr:row>
      <xdr:rowOff>279400</xdr:rowOff>
    </xdr:from>
    <xdr:to>
      <xdr:col>3</xdr:col>
      <xdr:colOff>196850</xdr:colOff>
      <xdr:row>1325</xdr:row>
      <xdr:rowOff>498475</xdr:rowOff>
    </xdr:to>
    <xdr:pic>
      <xdr:nvPicPr>
        <xdr:cNvPr id="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3788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1325</xdr:row>
      <xdr:rowOff>257175</xdr:rowOff>
    </xdr:from>
    <xdr:to>
      <xdr:col>3</xdr:col>
      <xdr:colOff>514350</xdr:colOff>
      <xdr:row>1325</xdr:row>
      <xdr:rowOff>476250</xdr:rowOff>
    </xdr:to>
    <xdr:pic>
      <xdr:nvPicPr>
        <xdr:cNvPr id="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3766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1353</xdr:row>
      <xdr:rowOff>279400</xdr:rowOff>
    </xdr:from>
    <xdr:to>
      <xdr:col>3</xdr:col>
      <xdr:colOff>196850</xdr:colOff>
      <xdr:row>1353</xdr:row>
      <xdr:rowOff>498475</xdr:rowOff>
    </xdr:to>
    <xdr:pic>
      <xdr:nvPicPr>
        <xdr:cNvPr id="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529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1353</xdr:row>
      <xdr:rowOff>257175</xdr:rowOff>
    </xdr:from>
    <xdr:to>
      <xdr:col>3</xdr:col>
      <xdr:colOff>514350</xdr:colOff>
      <xdr:row>1353</xdr:row>
      <xdr:rowOff>476250</xdr:rowOff>
    </xdr:to>
    <xdr:pic>
      <xdr:nvPicPr>
        <xdr:cNvPr id="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527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1381</xdr:row>
      <xdr:rowOff>279400</xdr:rowOff>
    </xdr:from>
    <xdr:to>
      <xdr:col>3</xdr:col>
      <xdr:colOff>196850</xdr:colOff>
      <xdr:row>1381</xdr:row>
      <xdr:rowOff>498475</xdr:rowOff>
    </xdr:to>
    <xdr:pic>
      <xdr:nvPicPr>
        <xdr:cNvPr id="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67650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1381</xdr:row>
      <xdr:rowOff>257175</xdr:rowOff>
    </xdr:from>
    <xdr:to>
      <xdr:col>3</xdr:col>
      <xdr:colOff>514350</xdr:colOff>
      <xdr:row>1381</xdr:row>
      <xdr:rowOff>476250</xdr:rowOff>
    </xdr:to>
    <xdr:pic>
      <xdr:nvPicPr>
        <xdr:cNvPr id="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6742850"/>
          <a:ext cx="2190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1409</xdr:row>
      <xdr:rowOff>279400</xdr:rowOff>
    </xdr:from>
    <xdr:to>
      <xdr:col>3</xdr:col>
      <xdr:colOff>196850</xdr:colOff>
      <xdr:row>1409</xdr:row>
      <xdr:rowOff>498475</xdr:rowOff>
    </xdr:to>
    <xdr:pic>
      <xdr:nvPicPr>
        <xdr:cNvPr id="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8899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1409</xdr:row>
      <xdr:rowOff>257175</xdr:rowOff>
    </xdr:from>
    <xdr:to>
      <xdr:col>3</xdr:col>
      <xdr:colOff>514350</xdr:colOff>
      <xdr:row>1409</xdr:row>
      <xdr:rowOff>476250</xdr:rowOff>
    </xdr:to>
    <xdr:pic>
      <xdr:nvPicPr>
        <xdr:cNvPr id="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88974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1437</xdr:row>
      <xdr:rowOff>279400</xdr:rowOff>
    </xdr:from>
    <xdr:to>
      <xdr:col>3</xdr:col>
      <xdr:colOff>196850</xdr:colOff>
      <xdr:row>1437</xdr:row>
      <xdr:rowOff>498475</xdr:rowOff>
    </xdr:to>
    <xdr:pic>
      <xdr:nvPicPr>
        <xdr:cNvPr id="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1053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1437</xdr:row>
      <xdr:rowOff>257175</xdr:rowOff>
    </xdr:from>
    <xdr:to>
      <xdr:col>3</xdr:col>
      <xdr:colOff>514350</xdr:colOff>
      <xdr:row>1437</xdr:row>
      <xdr:rowOff>476250</xdr:rowOff>
    </xdr:to>
    <xdr:pic>
      <xdr:nvPicPr>
        <xdr:cNvPr id="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1051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1451</xdr:row>
      <xdr:rowOff>279400</xdr:rowOff>
    </xdr:from>
    <xdr:to>
      <xdr:col>3</xdr:col>
      <xdr:colOff>196850</xdr:colOff>
      <xdr:row>1451</xdr:row>
      <xdr:rowOff>498475</xdr:rowOff>
    </xdr:to>
    <xdr:pic>
      <xdr:nvPicPr>
        <xdr:cNvPr id="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222196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1451</xdr:row>
      <xdr:rowOff>257175</xdr:rowOff>
    </xdr:from>
    <xdr:to>
      <xdr:col>3</xdr:col>
      <xdr:colOff>514350</xdr:colOff>
      <xdr:row>1451</xdr:row>
      <xdr:rowOff>476250</xdr:rowOff>
    </xdr:to>
    <xdr:pic>
      <xdr:nvPicPr>
        <xdr:cNvPr id="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22197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</xdr:row>
      <xdr:rowOff>279400</xdr:rowOff>
    </xdr:from>
    <xdr:to>
      <xdr:col>3</xdr:col>
      <xdr:colOff>196850</xdr:colOff>
      <xdr:row>23</xdr:row>
      <xdr:rowOff>498475</xdr:rowOff>
    </xdr:to>
    <xdr:pic>
      <xdr:nvPicPr>
        <xdr:cNvPr id="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49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</xdr:row>
      <xdr:rowOff>257175</xdr:rowOff>
    </xdr:from>
    <xdr:to>
      <xdr:col>3</xdr:col>
      <xdr:colOff>514350</xdr:colOff>
      <xdr:row>23</xdr:row>
      <xdr:rowOff>476250</xdr:rowOff>
    </xdr:to>
    <xdr:pic>
      <xdr:nvPicPr>
        <xdr:cNvPr id="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46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</xdr:row>
      <xdr:rowOff>279400</xdr:rowOff>
    </xdr:from>
    <xdr:to>
      <xdr:col>3</xdr:col>
      <xdr:colOff>196850</xdr:colOff>
      <xdr:row>35</xdr:row>
      <xdr:rowOff>498475</xdr:rowOff>
    </xdr:to>
    <xdr:pic>
      <xdr:nvPicPr>
        <xdr:cNvPr id="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32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</xdr:row>
      <xdr:rowOff>257175</xdr:rowOff>
    </xdr:from>
    <xdr:to>
      <xdr:col>3</xdr:col>
      <xdr:colOff>514350</xdr:colOff>
      <xdr:row>35</xdr:row>
      <xdr:rowOff>476250</xdr:rowOff>
    </xdr:to>
    <xdr:pic>
      <xdr:nvPicPr>
        <xdr:cNvPr id="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29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</xdr:row>
      <xdr:rowOff>279400</xdr:rowOff>
    </xdr:from>
    <xdr:to>
      <xdr:col>3</xdr:col>
      <xdr:colOff>196850</xdr:colOff>
      <xdr:row>48</xdr:row>
      <xdr:rowOff>498475</xdr:rowOff>
    </xdr:to>
    <xdr:pic>
      <xdr:nvPicPr>
        <xdr:cNvPr id="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</xdr:row>
      <xdr:rowOff>257175</xdr:rowOff>
    </xdr:from>
    <xdr:to>
      <xdr:col>3</xdr:col>
      <xdr:colOff>514350</xdr:colOff>
      <xdr:row>48</xdr:row>
      <xdr:rowOff>476250</xdr:rowOff>
    </xdr:to>
    <xdr:pic>
      <xdr:nvPicPr>
        <xdr:cNvPr id="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290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</xdr:row>
      <xdr:rowOff>279400</xdr:rowOff>
    </xdr:from>
    <xdr:to>
      <xdr:col>3</xdr:col>
      <xdr:colOff>196850</xdr:colOff>
      <xdr:row>58</xdr:row>
      <xdr:rowOff>498475</xdr:rowOff>
    </xdr:to>
    <xdr:pic>
      <xdr:nvPicPr>
        <xdr:cNvPr id="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</xdr:row>
      <xdr:rowOff>257175</xdr:rowOff>
    </xdr:from>
    <xdr:to>
      <xdr:col>3</xdr:col>
      <xdr:colOff>514350</xdr:colOff>
      <xdr:row>58</xdr:row>
      <xdr:rowOff>476250</xdr:rowOff>
    </xdr:to>
    <xdr:pic>
      <xdr:nvPicPr>
        <xdr:cNvPr id="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234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540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</xdr:row>
      <xdr:rowOff>257175</xdr:rowOff>
    </xdr:from>
    <xdr:to>
      <xdr:col>3</xdr:col>
      <xdr:colOff>514350</xdr:colOff>
      <xdr:row>80</xdr:row>
      <xdr:rowOff>476250</xdr:rowOff>
    </xdr:to>
    <xdr:pic>
      <xdr:nvPicPr>
        <xdr:cNvPr id="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32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</xdr:row>
      <xdr:rowOff>257175</xdr:rowOff>
    </xdr:from>
    <xdr:to>
      <xdr:col>3</xdr:col>
      <xdr:colOff>514350</xdr:colOff>
      <xdr:row>89</xdr:row>
      <xdr:rowOff>476250</xdr:rowOff>
    </xdr:to>
    <xdr:pic>
      <xdr:nvPicPr>
        <xdr:cNvPr id="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27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</xdr:row>
      <xdr:rowOff>257175</xdr:rowOff>
    </xdr:from>
    <xdr:to>
      <xdr:col>3</xdr:col>
      <xdr:colOff>514350</xdr:colOff>
      <xdr:row>112</xdr:row>
      <xdr:rowOff>476250</xdr:rowOff>
    </xdr:to>
    <xdr:pic>
      <xdr:nvPicPr>
        <xdr:cNvPr id="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484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162</xdr:row>
      <xdr:rowOff>257175</xdr:rowOff>
    </xdr:from>
    <xdr:to>
      <xdr:col>3</xdr:col>
      <xdr:colOff>514350</xdr:colOff>
      <xdr:row>162</xdr:row>
      <xdr:rowOff>476250</xdr:rowOff>
    </xdr:to>
    <xdr:pic>
      <xdr:nvPicPr>
        <xdr:cNvPr id="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243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182</xdr:row>
      <xdr:rowOff>0</xdr:rowOff>
    </xdr:from>
    <xdr:to>
      <xdr:col>3</xdr:col>
      <xdr:colOff>196850</xdr:colOff>
      <xdr:row>182</xdr:row>
      <xdr:rowOff>0</xdr:rowOff>
    </xdr:to>
    <xdr:pic>
      <xdr:nvPicPr>
        <xdr:cNvPr id="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7398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223</xdr:row>
      <xdr:rowOff>279400</xdr:rowOff>
    </xdr:from>
    <xdr:to>
      <xdr:col>3</xdr:col>
      <xdr:colOff>196850</xdr:colOff>
      <xdr:row>223</xdr:row>
      <xdr:rowOff>498475</xdr:rowOff>
    </xdr:to>
    <xdr:pic>
      <xdr:nvPicPr>
        <xdr:cNvPr id="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91481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223</xdr:row>
      <xdr:rowOff>257175</xdr:rowOff>
    </xdr:from>
    <xdr:to>
      <xdr:col>3</xdr:col>
      <xdr:colOff>514350</xdr:colOff>
      <xdr:row>223</xdr:row>
      <xdr:rowOff>476250</xdr:rowOff>
    </xdr:to>
    <xdr:pic>
      <xdr:nvPicPr>
        <xdr:cNvPr id="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9125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58156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5793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</xdr:row>
      <xdr:rowOff>279400</xdr:rowOff>
    </xdr:from>
    <xdr:to>
      <xdr:col>3</xdr:col>
      <xdr:colOff>196850</xdr:colOff>
      <xdr:row>35</xdr:row>
      <xdr:rowOff>498475</xdr:rowOff>
    </xdr:to>
    <xdr:pic>
      <xdr:nvPicPr>
        <xdr:cNvPr id="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32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</xdr:row>
      <xdr:rowOff>279400</xdr:rowOff>
    </xdr:from>
    <xdr:to>
      <xdr:col>10</xdr:col>
      <xdr:colOff>196850</xdr:colOff>
      <xdr:row>35</xdr:row>
      <xdr:rowOff>498475</xdr:rowOff>
    </xdr:to>
    <xdr:pic>
      <xdr:nvPicPr>
        <xdr:cNvPr id="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32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</xdr:row>
      <xdr:rowOff>279400</xdr:rowOff>
    </xdr:from>
    <xdr:to>
      <xdr:col>3</xdr:col>
      <xdr:colOff>196850</xdr:colOff>
      <xdr:row>35</xdr:row>
      <xdr:rowOff>498475</xdr:rowOff>
    </xdr:to>
    <xdr:pic>
      <xdr:nvPicPr>
        <xdr:cNvPr id="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32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</xdr:row>
      <xdr:rowOff>279400</xdr:rowOff>
    </xdr:from>
    <xdr:to>
      <xdr:col>3</xdr:col>
      <xdr:colOff>196850</xdr:colOff>
      <xdr:row>48</xdr:row>
      <xdr:rowOff>498475</xdr:rowOff>
    </xdr:to>
    <xdr:pic>
      <xdr:nvPicPr>
        <xdr:cNvPr id="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</xdr:row>
      <xdr:rowOff>279400</xdr:rowOff>
    </xdr:from>
    <xdr:to>
      <xdr:col>10</xdr:col>
      <xdr:colOff>196850</xdr:colOff>
      <xdr:row>48</xdr:row>
      <xdr:rowOff>498475</xdr:rowOff>
    </xdr:to>
    <xdr:pic>
      <xdr:nvPicPr>
        <xdr:cNvPr id="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</xdr:row>
      <xdr:rowOff>279400</xdr:rowOff>
    </xdr:from>
    <xdr:to>
      <xdr:col>3</xdr:col>
      <xdr:colOff>196850</xdr:colOff>
      <xdr:row>48</xdr:row>
      <xdr:rowOff>498475</xdr:rowOff>
    </xdr:to>
    <xdr:pic>
      <xdr:nvPicPr>
        <xdr:cNvPr id="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</xdr:row>
      <xdr:rowOff>279400</xdr:rowOff>
    </xdr:from>
    <xdr:to>
      <xdr:col>3</xdr:col>
      <xdr:colOff>196850</xdr:colOff>
      <xdr:row>48</xdr:row>
      <xdr:rowOff>498475</xdr:rowOff>
    </xdr:to>
    <xdr:pic>
      <xdr:nvPicPr>
        <xdr:cNvPr id="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</xdr:row>
      <xdr:rowOff>279400</xdr:rowOff>
    </xdr:from>
    <xdr:to>
      <xdr:col>10</xdr:col>
      <xdr:colOff>196850</xdr:colOff>
      <xdr:row>48</xdr:row>
      <xdr:rowOff>498475</xdr:rowOff>
    </xdr:to>
    <xdr:pic>
      <xdr:nvPicPr>
        <xdr:cNvPr id="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</xdr:row>
      <xdr:rowOff>279400</xdr:rowOff>
    </xdr:from>
    <xdr:to>
      <xdr:col>3</xdr:col>
      <xdr:colOff>196850</xdr:colOff>
      <xdr:row>48</xdr:row>
      <xdr:rowOff>498475</xdr:rowOff>
    </xdr:to>
    <xdr:pic>
      <xdr:nvPicPr>
        <xdr:cNvPr id="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312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</xdr:row>
      <xdr:rowOff>279400</xdr:rowOff>
    </xdr:from>
    <xdr:to>
      <xdr:col>3</xdr:col>
      <xdr:colOff>196850</xdr:colOff>
      <xdr:row>58</xdr:row>
      <xdr:rowOff>498475</xdr:rowOff>
    </xdr:to>
    <xdr:pic>
      <xdr:nvPicPr>
        <xdr:cNvPr id="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</xdr:row>
      <xdr:rowOff>279400</xdr:rowOff>
    </xdr:from>
    <xdr:to>
      <xdr:col>10</xdr:col>
      <xdr:colOff>196850</xdr:colOff>
      <xdr:row>58</xdr:row>
      <xdr:rowOff>498475</xdr:rowOff>
    </xdr:to>
    <xdr:pic>
      <xdr:nvPicPr>
        <xdr:cNvPr id="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</xdr:row>
      <xdr:rowOff>279400</xdr:rowOff>
    </xdr:from>
    <xdr:to>
      <xdr:col>3</xdr:col>
      <xdr:colOff>196850</xdr:colOff>
      <xdr:row>58</xdr:row>
      <xdr:rowOff>498475</xdr:rowOff>
    </xdr:to>
    <xdr:pic>
      <xdr:nvPicPr>
        <xdr:cNvPr id="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</xdr:row>
      <xdr:rowOff>279400</xdr:rowOff>
    </xdr:from>
    <xdr:to>
      <xdr:col>3</xdr:col>
      <xdr:colOff>196850</xdr:colOff>
      <xdr:row>58</xdr:row>
      <xdr:rowOff>498475</xdr:rowOff>
    </xdr:to>
    <xdr:pic>
      <xdr:nvPicPr>
        <xdr:cNvPr id="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</xdr:row>
      <xdr:rowOff>279400</xdr:rowOff>
    </xdr:from>
    <xdr:to>
      <xdr:col>10</xdr:col>
      <xdr:colOff>196850</xdr:colOff>
      <xdr:row>58</xdr:row>
      <xdr:rowOff>498475</xdr:rowOff>
    </xdr:to>
    <xdr:pic>
      <xdr:nvPicPr>
        <xdr:cNvPr id="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</xdr:row>
      <xdr:rowOff>279400</xdr:rowOff>
    </xdr:from>
    <xdr:to>
      <xdr:col>3</xdr:col>
      <xdr:colOff>196850</xdr:colOff>
      <xdr:row>58</xdr:row>
      <xdr:rowOff>498475</xdr:rowOff>
    </xdr:to>
    <xdr:pic>
      <xdr:nvPicPr>
        <xdr:cNvPr id="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256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62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</xdr:row>
      <xdr:rowOff>279400</xdr:rowOff>
    </xdr:from>
    <xdr:to>
      <xdr:col>10</xdr:col>
      <xdr:colOff>196850</xdr:colOff>
      <xdr:row>112</xdr:row>
      <xdr:rowOff>498475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</xdr:row>
      <xdr:rowOff>279400</xdr:rowOff>
    </xdr:from>
    <xdr:to>
      <xdr:col>3</xdr:col>
      <xdr:colOff>196850</xdr:colOff>
      <xdr:row>112</xdr:row>
      <xdr:rowOff>498475</xdr:rowOff>
    </xdr:to>
    <xdr:pic>
      <xdr:nvPicPr>
        <xdr:cNvPr id="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87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162</xdr:row>
      <xdr:rowOff>279400</xdr:rowOff>
    </xdr:from>
    <xdr:to>
      <xdr:col>10</xdr:col>
      <xdr:colOff>196850</xdr:colOff>
      <xdr:row>162</xdr:row>
      <xdr:rowOff>498475</xdr:rowOff>
    </xdr:to>
    <xdr:pic>
      <xdr:nvPicPr>
        <xdr:cNvPr id="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162</xdr:row>
      <xdr:rowOff>279400</xdr:rowOff>
    </xdr:from>
    <xdr:to>
      <xdr:col>3</xdr:col>
      <xdr:colOff>196850</xdr:colOff>
      <xdr:row>162</xdr:row>
      <xdr:rowOff>498475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245657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1409</xdr:row>
      <xdr:rowOff>279400</xdr:rowOff>
    </xdr:from>
    <xdr:to>
      <xdr:col>10</xdr:col>
      <xdr:colOff>196850</xdr:colOff>
      <xdr:row>1409</xdr:row>
      <xdr:rowOff>498475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8899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1409</xdr:row>
      <xdr:rowOff>279400</xdr:rowOff>
    </xdr:from>
    <xdr:to>
      <xdr:col>3</xdr:col>
      <xdr:colOff>196850</xdr:colOff>
      <xdr:row>1409</xdr:row>
      <xdr:rowOff>498475</xdr:rowOff>
    </xdr:to>
    <xdr:pic>
      <xdr:nvPicPr>
        <xdr:cNvPr id="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88996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1981200</xdr:colOff>
      <xdr:row>1886</xdr:row>
      <xdr:rowOff>0</xdr:rowOff>
    </xdr:from>
    <xdr:to>
      <xdr:col>3</xdr:col>
      <xdr:colOff>2200275</xdr:colOff>
      <xdr:row>1886</xdr:row>
      <xdr:rowOff>161925</xdr:rowOff>
    </xdr:to>
    <xdr:sp macro="" textlink="">
      <xdr:nvSpPr>
        <xdr:cNvPr id="579" name="AutoShape 6"/>
        <xdr:cNvSpPr>
          <a:spLocks noChangeAspect="1" noChangeArrowheads="1"/>
        </xdr:cNvSpPr>
      </xdr:nvSpPr>
      <xdr:spPr bwMode="auto">
        <a:xfrm>
          <a:off x="5581650" y="1295038050"/>
          <a:ext cx="219075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10</xdr:col>
      <xdr:colOff>6350</xdr:colOff>
      <xdr:row>1185</xdr:row>
      <xdr:rowOff>279400</xdr:rowOff>
    </xdr:from>
    <xdr:to>
      <xdr:col>10</xdr:col>
      <xdr:colOff>196850</xdr:colOff>
      <xdr:row>1185</xdr:row>
      <xdr:rowOff>498475</xdr:rowOff>
    </xdr:to>
    <xdr:pic>
      <xdr:nvPicPr>
        <xdr:cNvPr id="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3212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1185</xdr:row>
      <xdr:rowOff>257175</xdr:rowOff>
    </xdr:from>
    <xdr:to>
      <xdr:col>10</xdr:col>
      <xdr:colOff>514350</xdr:colOff>
      <xdr:row>1185</xdr:row>
      <xdr:rowOff>476250</xdr:rowOff>
    </xdr:to>
    <xdr:pic>
      <xdr:nvPicPr>
        <xdr:cNvPr id="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13190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1185</xdr:row>
      <xdr:rowOff>279400</xdr:rowOff>
    </xdr:from>
    <xdr:to>
      <xdr:col>3</xdr:col>
      <xdr:colOff>196850</xdr:colOff>
      <xdr:row>1185</xdr:row>
      <xdr:rowOff>498475</xdr:rowOff>
    </xdr:to>
    <xdr:pic>
      <xdr:nvPicPr>
        <xdr:cNvPr id="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3212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1185</xdr:row>
      <xdr:rowOff>257175</xdr:rowOff>
    </xdr:from>
    <xdr:to>
      <xdr:col>3</xdr:col>
      <xdr:colOff>514350</xdr:colOff>
      <xdr:row>1185</xdr:row>
      <xdr:rowOff>476250</xdr:rowOff>
    </xdr:to>
    <xdr:pic>
      <xdr:nvPicPr>
        <xdr:cNvPr id="5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3190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1441</xdr:row>
      <xdr:rowOff>228600</xdr:rowOff>
    </xdr:from>
    <xdr:to>
      <xdr:col>3</xdr:col>
      <xdr:colOff>260350</xdr:colOff>
      <xdr:row>1441</xdr:row>
      <xdr:rowOff>447675</xdr:rowOff>
    </xdr:to>
    <xdr:pic>
      <xdr:nvPicPr>
        <xdr:cNvPr id="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1412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1441</xdr:row>
      <xdr:rowOff>231775</xdr:rowOff>
    </xdr:from>
    <xdr:to>
      <xdr:col>3</xdr:col>
      <xdr:colOff>539750</xdr:colOff>
      <xdr:row>1441</xdr:row>
      <xdr:rowOff>450850</xdr:rowOff>
    </xdr:to>
    <xdr:pic>
      <xdr:nvPicPr>
        <xdr:cNvPr id="5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1413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1441</xdr:row>
      <xdr:rowOff>228600</xdr:rowOff>
    </xdr:from>
    <xdr:to>
      <xdr:col>10</xdr:col>
      <xdr:colOff>260350</xdr:colOff>
      <xdr:row>1441</xdr:row>
      <xdr:rowOff>447675</xdr:rowOff>
    </xdr:to>
    <xdr:pic>
      <xdr:nvPicPr>
        <xdr:cNvPr id="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1412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1441</xdr:row>
      <xdr:rowOff>231775</xdr:rowOff>
    </xdr:from>
    <xdr:to>
      <xdr:col>10</xdr:col>
      <xdr:colOff>539750</xdr:colOff>
      <xdr:row>1441</xdr:row>
      <xdr:rowOff>450850</xdr:rowOff>
    </xdr:to>
    <xdr:pic>
      <xdr:nvPicPr>
        <xdr:cNvPr id="5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1413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1441</xdr:row>
      <xdr:rowOff>228600</xdr:rowOff>
    </xdr:from>
    <xdr:to>
      <xdr:col>3</xdr:col>
      <xdr:colOff>260350</xdr:colOff>
      <xdr:row>1441</xdr:row>
      <xdr:rowOff>447675</xdr:rowOff>
    </xdr:to>
    <xdr:pic>
      <xdr:nvPicPr>
        <xdr:cNvPr id="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1412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1441</xdr:row>
      <xdr:rowOff>231775</xdr:rowOff>
    </xdr:from>
    <xdr:to>
      <xdr:col>3</xdr:col>
      <xdr:colOff>539750</xdr:colOff>
      <xdr:row>1441</xdr:row>
      <xdr:rowOff>450850</xdr:rowOff>
    </xdr:to>
    <xdr:pic>
      <xdr:nvPicPr>
        <xdr:cNvPr id="5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1413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1441</xdr:row>
      <xdr:rowOff>228600</xdr:rowOff>
    </xdr:from>
    <xdr:to>
      <xdr:col>3</xdr:col>
      <xdr:colOff>260350</xdr:colOff>
      <xdr:row>1441</xdr:row>
      <xdr:rowOff>447675</xdr:rowOff>
    </xdr:to>
    <xdr:pic>
      <xdr:nvPicPr>
        <xdr:cNvPr id="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1412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1441</xdr:row>
      <xdr:rowOff>231775</xdr:rowOff>
    </xdr:from>
    <xdr:to>
      <xdr:col>3</xdr:col>
      <xdr:colOff>539750</xdr:colOff>
      <xdr:row>1441</xdr:row>
      <xdr:rowOff>450850</xdr:rowOff>
    </xdr:to>
    <xdr:pic>
      <xdr:nvPicPr>
        <xdr:cNvPr id="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1413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1441</xdr:row>
      <xdr:rowOff>228600</xdr:rowOff>
    </xdr:from>
    <xdr:to>
      <xdr:col>10</xdr:col>
      <xdr:colOff>260350</xdr:colOff>
      <xdr:row>1441</xdr:row>
      <xdr:rowOff>447675</xdr:rowOff>
    </xdr:to>
    <xdr:pic>
      <xdr:nvPicPr>
        <xdr:cNvPr id="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1412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1441</xdr:row>
      <xdr:rowOff>231775</xdr:rowOff>
    </xdr:from>
    <xdr:to>
      <xdr:col>10</xdr:col>
      <xdr:colOff>539750</xdr:colOff>
      <xdr:row>1441</xdr:row>
      <xdr:rowOff>450850</xdr:rowOff>
    </xdr:to>
    <xdr:pic>
      <xdr:nvPicPr>
        <xdr:cNvPr id="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1413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1441</xdr:row>
      <xdr:rowOff>228600</xdr:rowOff>
    </xdr:from>
    <xdr:to>
      <xdr:col>3</xdr:col>
      <xdr:colOff>260350</xdr:colOff>
      <xdr:row>1441</xdr:row>
      <xdr:rowOff>447675</xdr:rowOff>
    </xdr:to>
    <xdr:pic>
      <xdr:nvPicPr>
        <xdr:cNvPr id="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1412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1441</xdr:row>
      <xdr:rowOff>231775</xdr:rowOff>
    </xdr:from>
    <xdr:to>
      <xdr:col>3</xdr:col>
      <xdr:colOff>539750</xdr:colOff>
      <xdr:row>1441</xdr:row>
      <xdr:rowOff>450850</xdr:rowOff>
    </xdr:to>
    <xdr:pic>
      <xdr:nvPicPr>
        <xdr:cNvPr id="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1413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1441</xdr:row>
      <xdr:rowOff>228600</xdr:rowOff>
    </xdr:from>
    <xdr:to>
      <xdr:col>10</xdr:col>
      <xdr:colOff>260350</xdr:colOff>
      <xdr:row>1441</xdr:row>
      <xdr:rowOff>447675</xdr:rowOff>
    </xdr:to>
    <xdr:pic>
      <xdr:nvPicPr>
        <xdr:cNvPr id="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1412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1441</xdr:row>
      <xdr:rowOff>231775</xdr:rowOff>
    </xdr:from>
    <xdr:to>
      <xdr:col>10</xdr:col>
      <xdr:colOff>539750</xdr:colOff>
      <xdr:row>1441</xdr:row>
      <xdr:rowOff>450850</xdr:rowOff>
    </xdr:to>
    <xdr:pic>
      <xdr:nvPicPr>
        <xdr:cNvPr id="5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14132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1448</xdr:row>
      <xdr:rowOff>228600</xdr:rowOff>
    </xdr:from>
    <xdr:to>
      <xdr:col>3</xdr:col>
      <xdr:colOff>260350</xdr:colOff>
      <xdr:row>1448</xdr:row>
      <xdr:rowOff>447675</xdr:rowOff>
    </xdr:to>
    <xdr:pic>
      <xdr:nvPicPr>
        <xdr:cNvPr id="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1882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1448</xdr:row>
      <xdr:rowOff>231775</xdr:rowOff>
    </xdr:from>
    <xdr:to>
      <xdr:col>3</xdr:col>
      <xdr:colOff>539750</xdr:colOff>
      <xdr:row>1448</xdr:row>
      <xdr:rowOff>450850</xdr:rowOff>
    </xdr:to>
    <xdr:pic>
      <xdr:nvPicPr>
        <xdr:cNvPr id="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188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1448</xdr:row>
      <xdr:rowOff>228600</xdr:rowOff>
    </xdr:from>
    <xdr:to>
      <xdr:col>10</xdr:col>
      <xdr:colOff>260350</xdr:colOff>
      <xdr:row>1448</xdr:row>
      <xdr:rowOff>447675</xdr:rowOff>
    </xdr:to>
    <xdr:pic>
      <xdr:nvPicPr>
        <xdr:cNvPr id="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1882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1448</xdr:row>
      <xdr:rowOff>231775</xdr:rowOff>
    </xdr:from>
    <xdr:to>
      <xdr:col>10</xdr:col>
      <xdr:colOff>539750</xdr:colOff>
      <xdr:row>1448</xdr:row>
      <xdr:rowOff>450850</xdr:rowOff>
    </xdr:to>
    <xdr:pic>
      <xdr:nvPicPr>
        <xdr:cNvPr id="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188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1448</xdr:row>
      <xdr:rowOff>228600</xdr:rowOff>
    </xdr:from>
    <xdr:to>
      <xdr:col>3</xdr:col>
      <xdr:colOff>260350</xdr:colOff>
      <xdr:row>1448</xdr:row>
      <xdr:rowOff>447675</xdr:rowOff>
    </xdr:to>
    <xdr:pic>
      <xdr:nvPicPr>
        <xdr:cNvPr id="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1882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1448</xdr:row>
      <xdr:rowOff>231775</xdr:rowOff>
    </xdr:from>
    <xdr:to>
      <xdr:col>3</xdr:col>
      <xdr:colOff>539750</xdr:colOff>
      <xdr:row>1448</xdr:row>
      <xdr:rowOff>450850</xdr:rowOff>
    </xdr:to>
    <xdr:pic>
      <xdr:nvPicPr>
        <xdr:cNvPr id="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188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1448</xdr:row>
      <xdr:rowOff>228600</xdr:rowOff>
    </xdr:from>
    <xdr:to>
      <xdr:col>3</xdr:col>
      <xdr:colOff>260350</xdr:colOff>
      <xdr:row>1448</xdr:row>
      <xdr:rowOff>447675</xdr:rowOff>
    </xdr:to>
    <xdr:pic>
      <xdr:nvPicPr>
        <xdr:cNvPr id="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1882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1448</xdr:row>
      <xdr:rowOff>231775</xdr:rowOff>
    </xdr:from>
    <xdr:to>
      <xdr:col>3</xdr:col>
      <xdr:colOff>539750</xdr:colOff>
      <xdr:row>1448</xdr:row>
      <xdr:rowOff>450850</xdr:rowOff>
    </xdr:to>
    <xdr:pic>
      <xdr:nvPicPr>
        <xdr:cNvPr id="6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188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1448</xdr:row>
      <xdr:rowOff>228600</xdr:rowOff>
    </xdr:from>
    <xdr:to>
      <xdr:col>10</xdr:col>
      <xdr:colOff>260350</xdr:colOff>
      <xdr:row>1448</xdr:row>
      <xdr:rowOff>447675</xdr:rowOff>
    </xdr:to>
    <xdr:pic>
      <xdr:nvPicPr>
        <xdr:cNvPr id="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1882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1448</xdr:row>
      <xdr:rowOff>231775</xdr:rowOff>
    </xdr:from>
    <xdr:to>
      <xdr:col>10</xdr:col>
      <xdr:colOff>539750</xdr:colOff>
      <xdr:row>1448</xdr:row>
      <xdr:rowOff>450850</xdr:rowOff>
    </xdr:to>
    <xdr:pic>
      <xdr:nvPicPr>
        <xdr:cNvPr id="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188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1448</xdr:row>
      <xdr:rowOff>228600</xdr:rowOff>
    </xdr:from>
    <xdr:to>
      <xdr:col>3</xdr:col>
      <xdr:colOff>260350</xdr:colOff>
      <xdr:row>1448</xdr:row>
      <xdr:rowOff>447675</xdr:rowOff>
    </xdr:to>
    <xdr:pic>
      <xdr:nvPicPr>
        <xdr:cNvPr id="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1882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1448</xdr:row>
      <xdr:rowOff>231775</xdr:rowOff>
    </xdr:from>
    <xdr:to>
      <xdr:col>3</xdr:col>
      <xdr:colOff>539750</xdr:colOff>
      <xdr:row>1448</xdr:row>
      <xdr:rowOff>450850</xdr:rowOff>
    </xdr:to>
    <xdr:pic>
      <xdr:nvPicPr>
        <xdr:cNvPr id="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188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1448</xdr:row>
      <xdr:rowOff>228600</xdr:rowOff>
    </xdr:from>
    <xdr:to>
      <xdr:col>10</xdr:col>
      <xdr:colOff>260350</xdr:colOff>
      <xdr:row>1448</xdr:row>
      <xdr:rowOff>447675</xdr:rowOff>
    </xdr:to>
    <xdr:pic>
      <xdr:nvPicPr>
        <xdr:cNvPr id="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1882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1448</xdr:row>
      <xdr:rowOff>231775</xdr:rowOff>
    </xdr:from>
    <xdr:to>
      <xdr:col>10</xdr:col>
      <xdr:colOff>539750</xdr:colOff>
      <xdr:row>1448</xdr:row>
      <xdr:rowOff>450850</xdr:rowOff>
    </xdr:to>
    <xdr:pic>
      <xdr:nvPicPr>
        <xdr:cNvPr id="6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18828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1545</xdr:row>
      <xdr:rowOff>279400</xdr:rowOff>
    </xdr:from>
    <xdr:to>
      <xdr:col>10</xdr:col>
      <xdr:colOff>196850</xdr:colOff>
      <xdr:row>1545</xdr:row>
      <xdr:rowOff>498475</xdr:rowOff>
    </xdr:to>
    <xdr:pic>
      <xdr:nvPicPr>
        <xdr:cNvPr id="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9215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1545</xdr:row>
      <xdr:rowOff>257175</xdr:rowOff>
    </xdr:from>
    <xdr:to>
      <xdr:col>10</xdr:col>
      <xdr:colOff>514350</xdr:colOff>
      <xdr:row>1545</xdr:row>
      <xdr:rowOff>476250</xdr:rowOff>
    </xdr:to>
    <xdr:pic>
      <xdr:nvPicPr>
        <xdr:cNvPr id="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9212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1545</xdr:row>
      <xdr:rowOff>279400</xdr:rowOff>
    </xdr:from>
    <xdr:to>
      <xdr:col>3</xdr:col>
      <xdr:colOff>196850</xdr:colOff>
      <xdr:row>1545</xdr:row>
      <xdr:rowOff>498475</xdr:rowOff>
    </xdr:to>
    <xdr:pic>
      <xdr:nvPicPr>
        <xdr:cNvPr id="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9215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1545</xdr:row>
      <xdr:rowOff>257175</xdr:rowOff>
    </xdr:from>
    <xdr:to>
      <xdr:col>3</xdr:col>
      <xdr:colOff>514350</xdr:colOff>
      <xdr:row>1545</xdr:row>
      <xdr:rowOff>476250</xdr:rowOff>
    </xdr:to>
    <xdr:pic>
      <xdr:nvPicPr>
        <xdr:cNvPr id="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9212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</xdr:row>
      <xdr:rowOff>228600</xdr:rowOff>
    </xdr:from>
    <xdr:to>
      <xdr:col>3</xdr:col>
      <xdr:colOff>260350</xdr:colOff>
      <xdr:row>15</xdr:row>
      <xdr:rowOff>447675</xdr:rowOff>
    </xdr:to>
    <xdr:pic>
      <xdr:nvPicPr>
        <xdr:cNvPr id="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63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</xdr:row>
      <xdr:rowOff>231775</xdr:rowOff>
    </xdr:from>
    <xdr:to>
      <xdr:col>3</xdr:col>
      <xdr:colOff>539750</xdr:colOff>
      <xdr:row>15</xdr:row>
      <xdr:rowOff>450850</xdr:rowOff>
    </xdr:to>
    <xdr:pic>
      <xdr:nvPicPr>
        <xdr:cNvPr id="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64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</xdr:row>
      <xdr:rowOff>228600</xdr:rowOff>
    </xdr:from>
    <xdr:to>
      <xdr:col>10</xdr:col>
      <xdr:colOff>260350</xdr:colOff>
      <xdr:row>15</xdr:row>
      <xdr:rowOff>447675</xdr:rowOff>
    </xdr:to>
    <xdr:pic>
      <xdr:nvPicPr>
        <xdr:cNvPr id="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63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</xdr:row>
      <xdr:rowOff>231775</xdr:rowOff>
    </xdr:from>
    <xdr:to>
      <xdr:col>10</xdr:col>
      <xdr:colOff>539750</xdr:colOff>
      <xdr:row>15</xdr:row>
      <xdr:rowOff>450850</xdr:rowOff>
    </xdr:to>
    <xdr:pic>
      <xdr:nvPicPr>
        <xdr:cNvPr id="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64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</xdr:row>
      <xdr:rowOff>228600</xdr:rowOff>
    </xdr:from>
    <xdr:to>
      <xdr:col>3</xdr:col>
      <xdr:colOff>260350</xdr:colOff>
      <xdr:row>15</xdr:row>
      <xdr:rowOff>447675</xdr:rowOff>
    </xdr:to>
    <xdr:pic>
      <xdr:nvPicPr>
        <xdr:cNvPr id="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63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</xdr:row>
      <xdr:rowOff>231775</xdr:rowOff>
    </xdr:from>
    <xdr:to>
      <xdr:col>3</xdr:col>
      <xdr:colOff>539750</xdr:colOff>
      <xdr:row>15</xdr:row>
      <xdr:rowOff>450850</xdr:rowOff>
    </xdr:to>
    <xdr:pic>
      <xdr:nvPicPr>
        <xdr:cNvPr id="6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64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</xdr:row>
      <xdr:rowOff>228600</xdr:rowOff>
    </xdr:from>
    <xdr:to>
      <xdr:col>3</xdr:col>
      <xdr:colOff>260350</xdr:colOff>
      <xdr:row>15</xdr:row>
      <xdr:rowOff>447675</xdr:rowOff>
    </xdr:to>
    <xdr:pic>
      <xdr:nvPicPr>
        <xdr:cNvPr id="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63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</xdr:row>
      <xdr:rowOff>231775</xdr:rowOff>
    </xdr:from>
    <xdr:to>
      <xdr:col>3</xdr:col>
      <xdr:colOff>539750</xdr:colOff>
      <xdr:row>15</xdr:row>
      <xdr:rowOff>450850</xdr:rowOff>
    </xdr:to>
    <xdr:pic>
      <xdr:nvPicPr>
        <xdr:cNvPr id="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64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</xdr:row>
      <xdr:rowOff>228600</xdr:rowOff>
    </xdr:from>
    <xdr:to>
      <xdr:col>10</xdr:col>
      <xdr:colOff>260350</xdr:colOff>
      <xdr:row>15</xdr:row>
      <xdr:rowOff>447675</xdr:rowOff>
    </xdr:to>
    <xdr:pic>
      <xdr:nvPicPr>
        <xdr:cNvPr id="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63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</xdr:row>
      <xdr:rowOff>231775</xdr:rowOff>
    </xdr:from>
    <xdr:to>
      <xdr:col>10</xdr:col>
      <xdr:colOff>539750</xdr:colOff>
      <xdr:row>15</xdr:row>
      <xdr:rowOff>450850</xdr:rowOff>
    </xdr:to>
    <xdr:pic>
      <xdr:nvPicPr>
        <xdr:cNvPr id="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64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</xdr:row>
      <xdr:rowOff>228600</xdr:rowOff>
    </xdr:from>
    <xdr:to>
      <xdr:col>3</xdr:col>
      <xdr:colOff>260350</xdr:colOff>
      <xdr:row>15</xdr:row>
      <xdr:rowOff>447675</xdr:rowOff>
    </xdr:to>
    <xdr:pic>
      <xdr:nvPicPr>
        <xdr:cNvPr id="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63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</xdr:row>
      <xdr:rowOff>231775</xdr:rowOff>
    </xdr:from>
    <xdr:to>
      <xdr:col>3</xdr:col>
      <xdr:colOff>539750</xdr:colOff>
      <xdr:row>15</xdr:row>
      <xdr:rowOff>450850</xdr:rowOff>
    </xdr:to>
    <xdr:pic>
      <xdr:nvPicPr>
        <xdr:cNvPr id="6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64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</xdr:row>
      <xdr:rowOff>228600</xdr:rowOff>
    </xdr:from>
    <xdr:to>
      <xdr:col>10</xdr:col>
      <xdr:colOff>260350</xdr:colOff>
      <xdr:row>15</xdr:row>
      <xdr:rowOff>447675</xdr:rowOff>
    </xdr:to>
    <xdr:pic>
      <xdr:nvPicPr>
        <xdr:cNvPr id="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639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</xdr:row>
      <xdr:rowOff>231775</xdr:rowOff>
    </xdr:from>
    <xdr:to>
      <xdr:col>10</xdr:col>
      <xdr:colOff>539750</xdr:colOff>
      <xdr:row>15</xdr:row>
      <xdr:rowOff>450850</xdr:rowOff>
    </xdr:to>
    <xdr:pic>
      <xdr:nvPicPr>
        <xdr:cNvPr id="6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642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7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70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7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70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7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70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7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70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7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70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</xdr:row>
      <xdr:rowOff>228600</xdr:rowOff>
    </xdr:from>
    <xdr:to>
      <xdr:col>3</xdr:col>
      <xdr:colOff>260350</xdr:colOff>
      <xdr:row>20</xdr:row>
      <xdr:rowOff>447675</xdr:rowOff>
    </xdr:to>
    <xdr:pic>
      <xdr:nvPicPr>
        <xdr:cNvPr id="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7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</xdr:row>
      <xdr:rowOff>231775</xdr:rowOff>
    </xdr:from>
    <xdr:to>
      <xdr:col>3</xdr:col>
      <xdr:colOff>539750</xdr:colOff>
      <xdr:row>20</xdr:row>
      <xdr:rowOff>450850</xdr:rowOff>
    </xdr:to>
    <xdr:pic>
      <xdr:nvPicPr>
        <xdr:cNvPr id="6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70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</xdr:row>
      <xdr:rowOff>228600</xdr:rowOff>
    </xdr:from>
    <xdr:to>
      <xdr:col>10</xdr:col>
      <xdr:colOff>260350</xdr:colOff>
      <xdr:row>20</xdr:row>
      <xdr:rowOff>447675</xdr:rowOff>
    </xdr:to>
    <xdr:pic>
      <xdr:nvPicPr>
        <xdr:cNvPr id="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7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</xdr:row>
      <xdr:rowOff>231775</xdr:rowOff>
    </xdr:from>
    <xdr:to>
      <xdr:col>10</xdr:col>
      <xdr:colOff>539750</xdr:colOff>
      <xdr:row>20</xdr:row>
      <xdr:rowOff>450850</xdr:rowOff>
    </xdr:to>
    <xdr:pic>
      <xdr:nvPicPr>
        <xdr:cNvPr id="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70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57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57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57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57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57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57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57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57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57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57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57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57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574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6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57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</xdr:row>
      <xdr:rowOff>228600</xdr:rowOff>
    </xdr:from>
    <xdr:to>
      <xdr:col>3</xdr:col>
      <xdr:colOff>260350</xdr:colOff>
      <xdr:row>32</xdr:row>
      <xdr:rowOff>447675</xdr:rowOff>
    </xdr:to>
    <xdr:pic>
      <xdr:nvPicPr>
        <xdr:cNvPr id="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802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</xdr:row>
      <xdr:rowOff>231775</xdr:rowOff>
    </xdr:from>
    <xdr:to>
      <xdr:col>3</xdr:col>
      <xdr:colOff>539750</xdr:colOff>
      <xdr:row>32</xdr:row>
      <xdr:rowOff>450850</xdr:rowOff>
    </xdr:to>
    <xdr:pic>
      <xdr:nvPicPr>
        <xdr:cNvPr id="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80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</xdr:row>
      <xdr:rowOff>228600</xdr:rowOff>
    </xdr:from>
    <xdr:to>
      <xdr:col>10</xdr:col>
      <xdr:colOff>260350</xdr:colOff>
      <xdr:row>32</xdr:row>
      <xdr:rowOff>447675</xdr:rowOff>
    </xdr:to>
    <xdr:pic>
      <xdr:nvPicPr>
        <xdr:cNvPr id="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802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</xdr:row>
      <xdr:rowOff>231775</xdr:rowOff>
    </xdr:from>
    <xdr:to>
      <xdr:col>10</xdr:col>
      <xdr:colOff>539750</xdr:colOff>
      <xdr:row>32</xdr:row>
      <xdr:rowOff>450850</xdr:rowOff>
    </xdr:to>
    <xdr:pic>
      <xdr:nvPicPr>
        <xdr:cNvPr id="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80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</xdr:row>
      <xdr:rowOff>228600</xdr:rowOff>
    </xdr:from>
    <xdr:to>
      <xdr:col>3</xdr:col>
      <xdr:colOff>260350</xdr:colOff>
      <xdr:row>32</xdr:row>
      <xdr:rowOff>447675</xdr:rowOff>
    </xdr:to>
    <xdr:pic>
      <xdr:nvPicPr>
        <xdr:cNvPr id="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802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</xdr:row>
      <xdr:rowOff>231775</xdr:rowOff>
    </xdr:from>
    <xdr:to>
      <xdr:col>3</xdr:col>
      <xdr:colOff>539750</xdr:colOff>
      <xdr:row>32</xdr:row>
      <xdr:rowOff>450850</xdr:rowOff>
    </xdr:to>
    <xdr:pic>
      <xdr:nvPicPr>
        <xdr:cNvPr id="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80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</xdr:row>
      <xdr:rowOff>228600</xdr:rowOff>
    </xdr:from>
    <xdr:to>
      <xdr:col>3</xdr:col>
      <xdr:colOff>260350</xdr:colOff>
      <xdr:row>32</xdr:row>
      <xdr:rowOff>447675</xdr:rowOff>
    </xdr:to>
    <xdr:pic>
      <xdr:nvPicPr>
        <xdr:cNvPr id="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802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</xdr:row>
      <xdr:rowOff>231775</xdr:rowOff>
    </xdr:from>
    <xdr:to>
      <xdr:col>3</xdr:col>
      <xdr:colOff>539750</xdr:colOff>
      <xdr:row>32</xdr:row>
      <xdr:rowOff>450850</xdr:rowOff>
    </xdr:to>
    <xdr:pic>
      <xdr:nvPicPr>
        <xdr:cNvPr id="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80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</xdr:row>
      <xdr:rowOff>228600</xdr:rowOff>
    </xdr:from>
    <xdr:to>
      <xdr:col>10</xdr:col>
      <xdr:colOff>260350</xdr:colOff>
      <xdr:row>32</xdr:row>
      <xdr:rowOff>447675</xdr:rowOff>
    </xdr:to>
    <xdr:pic>
      <xdr:nvPicPr>
        <xdr:cNvPr id="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802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</xdr:row>
      <xdr:rowOff>231775</xdr:rowOff>
    </xdr:from>
    <xdr:to>
      <xdr:col>10</xdr:col>
      <xdr:colOff>539750</xdr:colOff>
      <xdr:row>32</xdr:row>
      <xdr:rowOff>450850</xdr:rowOff>
    </xdr:to>
    <xdr:pic>
      <xdr:nvPicPr>
        <xdr:cNvPr id="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80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</xdr:row>
      <xdr:rowOff>228600</xdr:rowOff>
    </xdr:from>
    <xdr:to>
      <xdr:col>3</xdr:col>
      <xdr:colOff>260350</xdr:colOff>
      <xdr:row>32</xdr:row>
      <xdr:rowOff>447675</xdr:rowOff>
    </xdr:to>
    <xdr:pic>
      <xdr:nvPicPr>
        <xdr:cNvPr id="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802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</xdr:row>
      <xdr:rowOff>231775</xdr:rowOff>
    </xdr:from>
    <xdr:to>
      <xdr:col>3</xdr:col>
      <xdr:colOff>539750</xdr:colOff>
      <xdr:row>32</xdr:row>
      <xdr:rowOff>450850</xdr:rowOff>
    </xdr:to>
    <xdr:pic>
      <xdr:nvPicPr>
        <xdr:cNvPr id="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80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</xdr:row>
      <xdr:rowOff>228600</xdr:rowOff>
    </xdr:from>
    <xdr:to>
      <xdr:col>10</xdr:col>
      <xdr:colOff>260350</xdr:colOff>
      <xdr:row>32</xdr:row>
      <xdr:rowOff>447675</xdr:rowOff>
    </xdr:to>
    <xdr:pic>
      <xdr:nvPicPr>
        <xdr:cNvPr id="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802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</xdr:row>
      <xdr:rowOff>231775</xdr:rowOff>
    </xdr:from>
    <xdr:to>
      <xdr:col>10</xdr:col>
      <xdr:colOff>539750</xdr:colOff>
      <xdr:row>32</xdr:row>
      <xdr:rowOff>450850</xdr:rowOff>
    </xdr:to>
    <xdr:pic>
      <xdr:nvPicPr>
        <xdr:cNvPr id="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80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015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6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015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3015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3015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015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015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015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015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3015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6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3015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015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6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015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3015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3015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45</xdr:row>
      <xdr:rowOff>228600</xdr:rowOff>
    </xdr:from>
    <xdr:to>
      <xdr:col>3</xdr:col>
      <xdr:colOff>260350</xdr:colOff>
      <xdr:row>45</xdr:row>
      <xdr:rowOff>447675</xdr:rowOff>
    </xdr:to>
    <xdr:pic>
      <xdr:nvPicPr>
        <xdr:cNvPr id="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352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45</xdr:row>
      <xdr:rowOff>231775</xdr:rowOff>
    </xdr:from>
    <xdr:to>
      <xdr:col>3</xdr:col>
      <xdr:colOff>539750</xdr:colOff>
      <xdr:row>45</xdr:row>
      <xdr:rowOff>450850</xdr:rowOff>
    </xdr:to>
    <xdr:pic>
      <xdr:nvPicPr>
        <xdr:cNvPr id="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353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45</xdr:row>
      <xdr:rowOff>228600</xdr:rowOff>
    </xdr:from>
    <xdr:to>
      <xdr:col>10</xdr:col>
      <xdr:colOff>260350</xdr:colOff>
      <xdr:row>45</xdr:row>
      <xdr:rowOff>447675</xdr:rowOff>
    </xdr:to>
    <xdr:pic>
      <xdr:nvPicPr>
        <xdr:cNvPr id="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3352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45</xdr:row>
      <xdr:rowOff>231775</xdr:rowOff>
    </xdr:from>
    <xdr:to>
      <xdr:col>10</xdr:col>
      <xdr:colOff>539750</xdr:colOff>
      <xdr:row>45</xdr:row>
      <xdr:rowOff>450850</xdr:rowOff>
    </xdr:to>
    <xdr:pic>
      <xdr:nvPicPr>
        <xdr:cNvPr id="6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3353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45</xdr:row>
      <xdr:rowOff>228600</xdr:rowOff>
    </xdr:from>
    <xdr:to>
      <xdr:col>3</xdr:col>
      <xdr:colOff>260350</xdr:colOff>
      <xdr:row>45</xdr:row>
      <xdr:rowOff>447675</xdr:rowOff>
    </xdr:to>
    <xdr:pic>
      <xdr:nvPicPr>
        <xdr:cNvPr id="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352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45</xdr:row>
      <xdr:rowOff>231775</xdr:rowOff>
    </xdr:from>
    <xdr:to>
      <xdr:col>3</xdr:col>
      <xdr:colOff>539750</xdr:colOff>
      <xdr:row>45</xdr:row>
      <xdr:rowOff>450850</xdr:rowOff>
    </xdr:to>
    <xdr:pic>
      <xdr:nvPicPr>
        <xdr:cNvPr id="6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353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45</xdr:row>
      <xdr:rowOff>228600</xdr:rowOff>
    </xdr:from>
    <xdr:to>
      <xdr:col>3</xdr:col>
      <xdr:colOff>260350</xdr:colOff>
      <xdr:row>45</xdr:row>
      <xdr:rowOff>447675</xdr:rowOff>
    </xdr:to>
    <xdr:pic>
      <xdr:nvPicPr>
        <xdr:cNvPr id="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352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45</xdr:row>
      <xdr:rowOff>231775</xdr:rowOff>
    </xdr:from>
    <xdr:to>
      <xdr:col>3</xdr:col>
      <xdr:colOff>539750</xdr:colOff>
      <xdr:row>45</xdr:row>
      <xdr:rowOff>450850</xdr:rowOff>
    </xdr:to>
    <xdr:pic>
      <xdr:nvPicPr>
        <xdr:cNvPr id="6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353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45</xdr:row>
      <xdr:rowOff>228600</xdr:rowOff>
    </xdr:from>
    <xdr:to>
      <xdr:col>10</xdr:col>
      <xdr:colOff>260350</xdr:colOff>
      <xdr:row>45</xdr:row>
      <xdr:rowOff>447675</xdr:rowOff>
    </xdr:to>
    <xdr:pic>
      <xdr:nvPicPr>
        <xdr:cNvPr id="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3352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45</xdr:row>
      <xdr:rowOff>231775</xdr:rowOff>
    </xdr:from>
    <xdr:to>
      <xdr:col>10</xdr:col>
      <xdr:colOff>539750</xdr:colOff>
      <xdr:row>45</xdr:row>
      <xdr:rowOff>450850</xdr:rowOff>
    </xdr:to>
    <xdr:pic>
      <xdr:nvPicPr>
        <xdr:cNvPr id="6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3353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45</xdr:row>
      <xdr:rowOff>228600</xdr:rowOff>
    </xdr:from>
    <xdr:to>
      <xdr:col>3</xdr:col>
      <xdr:colOff>260350</xdr:colOff>
      <xdr:row>45</xdr:row>
      <xdr:rowOff>447675</xdr:rowOff>
    </xdr:to>
    <xdr:pic>
      <xdr:nvPicPr>
        <xdr:cNvPr id="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3352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45</xdr:row>
      <xdr:rowOff>231775</xdr:rowOff>
    </xdr:from>
    <xdr:to>
      <xdr:col>3</xdr:col>
      <xdr:colOff>539750</xdr:colOff>
      <xdr:row>45</xdr:row>
      <xdr:rowOff>450850</xdr:rowOff>
    </xdr:to>
    <xdr:pic>
      <xdr:nvPicPr>
        <xdr:cNvPr id="6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3353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45</xdr:row>
      <xdr:rowOff>228600</xdr:rowOff>
    </xdr:from>
    <xdr:to>
      <xdr:col>10</xdr:col>
      <xdr:colOff>260350</xdr:colOff>
      <xdr:row>45</xdr:row>
      <xdr:rowOff>447675</xdr:rowOff>
    </xdr:to>
    <xdr:pic>
      <xdr:nvPicPr>
        <xdr:cNvPr id="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33528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45</xdr:row>
      <xdr:rowOff>231775</xdr:rowOff>
    </xdr:from>
    <xdr:to>
      <xdr:col>10</xdr:col>
      <xdr:colOff>539750</xdr:colOff>
      <xdr:row>45</xdr:row>
      <xdr:rowOff>450850</xdr:rowOff>
    </xdr:to>
    <xdr:pic>
      <xdr:nvPicPr>
        <xdr:cNvPr id="6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3353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028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53</xdr:row>
      <xdr:rowOff>231775</xdr:rowOff>
    </xdr:from>
    <xdr:to>
      <xdr:col>3</xdr:col>
      <xdr:colOff>539750</xdr:colOff>
      <xdr:row>53</xdr:row>
      <xdr:rowOff>450850</xdr:rowOff>
    </xdr:to>
    <xdr:pic>
      <xdr:nvPicPr>
        <xdr:cNvPr id="7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02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028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53</xdr:row>
      <xdr:rowOff>231775</xdr:rowOff>
    </xdr:from>
    <xdr:to>
      <xdr:col>10</xdr:col>
      <xdr:colOff>539750</xdr:colOff>
      <xdr:row>53</xdr:row>
      <xdr:rowOff>450850</xdr:rowOff>
    </xdr:to>
    <xdr:pic>
      <xdr:nvPicPr>
        <xdr:cNvPr id="7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02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028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53</xdr:row>
      <xdr:rowOff>231775</xdr:rowOff>
    </xdr:from>
    <xdr:to>
      <xdr:col>3</xdr:col>
      <xdr:colOff>539750</xdr:colOff>
      <xdr:row>53</xdr:row>
      <xdr:rowOff>450850</xdr:rowOff>
    </xdr:to>
    <xdr:pic>
      <xdr:nvPicPr>
        <xdr:cNvPr id="7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02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028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53</xdr:row>
      <xdr:rowOff>231775</xdr:rowOff>
    </xdr:from>
    <xdr:to>
      <xdr:col>3</xdr:col>
      <xdr:colOff>539750</xdr:colOff>
      <xdr:row>53</xdr:row>
      <xdr:rowOff>450850</xdr:rowOff>
    </xdr:to>
    <xdr:pic>
      <xdr:nvPicPr>
        <xdr:cNvPr id="7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02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028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53</xdr:row>
      <xdr:rowOff>231775</xdr:rowOff>
    </xdr:from>
    <xdr:to>
      <xdr:col>10</xdr:col>
      <xdr:colOff>539750</xdr:colOff>
      <xdr:row>53</xdr:row>
      <xdr:rowOff>450850</xdr:rowOff>
    </xdr:to>
    <xdr:pic>
      <xdr:nvPicPr>
        <xdr:cNvPr id="7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02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53</xdr:row>
      <xdr:rowOff>228600</xdr:rowOff>
    </xdr:from>
    <xdr:to>
      <xdr:col>3</xdr:col>
      <xdr:colOff>260350</xdr:colOff>
      <xdr:row>53</xdr:row>
      <xdr:rowOff>447675</xdr:rowOff>
    </xdr:to>
    <xdr:pic>
      <xdr:nvPicPr>
        <xdr:cNvPr id="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028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53</xdr:row>
      <xdr:rowOff>231775</xdr:rowOff>
    </xdr:from>
    <xdr:to>
      <xdr:col>3</xdr:col>
      <xdr:colOff>539750</xdr:colOff>
      <xdr:row>53</xdr:row>
      <xdr:rowOff>450850</xdr:rowOff>
    </xdr:to>
    <xdr:pic>
      <xdr:nvPicPr>
        <xdr:cNvPr id="7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02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53</xdr:row>
      <xdr:rowOff>228600</xdr:rowOff>
    </xdr:from>
    <xdr:to>
      <xdr:col>10</xdr:col>
      <xdr:colOff>260350</xdr:colOff>
      <xdr:row>53</xdr:row>
      <xdr:rowOff>447675</xdr:rowOff>
    </xdr:to>
    <xdr:pic>
      <xdr:nvPicPr>
        <xdr:cNvPr id="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0281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53</xdr:row>
      <xdr:rowOff>231775</xdr:rowOff>
    </xdr:from>
    <xdr:to>
      <xdr:col>10</xdr:col>
      <xdr:colOff>539750</xdr:colOff>
      <xdr:row>53</xdr:row>
      <xdr:rowOff>450850</xdr:rowOff>
    </xdr:to>
    <xdr:pic>
      <xdr:nvPicPr>
        <xdr:cNvPr id="7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0284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58</xdr:row>
      <xdr:rowOff>228600</xdr:rowOff>
    </xdr:from>
    <xdr:to>
      <xdr:col>3</xdr:col>
      <xdr:colOff>260350</xdr:colOff>
      <xdr:row>58</xdr:row>
      <xdr:rowOff>447675</xdr:rowOff>
    </xdr:to>
    <xdr:pic>
      <xdr:nvPicPr>
        <xdr:cNvPr id="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42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58</xdr:row>
      <xdr:rowOff>231775</xdr:rowOff>
    </xdr:from>
    <xdr:to>
      <xdr:col>3</xdr:col>
      <xdr:colOff>539750</xdr:colOff>
      <xdr:row>58</xdr:row>
      <xdr:rowOff>450850</xdr:rowOff>
    </xdr:to>
    <xdr:pic>
      <xdr:nvPicPr>
        <xdr:cNvPr id="7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420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58</xdr:row>
      <xdr:rowOff>228600</xdr:rowOff>
    </xdr:from>
    <xdr:to>
      <xdr:col>10</xdr:col>
      <xdr:colOff>260350</xdr:colOff>
      <xdr:row>58</xdr:row>
      <xdr:rowOff>447675</xdr:rowOff>
    </xdr:to>
    <xdr:pic>
      <xdr:nvPicPr>
        <xdr:cNvPr id="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42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58</xdr:row>
      <xdr:rowOff>231775</xdr:rowOff>
    </xdr:from>
    <xdr:to>
      <xdr:col>10</xdr:col>
      <xdr:colOff>539750</xdr:colOff>
      <xdr:row>58</xdr:row>
      <xdr:rowOff>450850</xdr:rowOff>
    </xdr:to>
    <xdr:pic>
      <xdr:nvPicPr>
        <xdr:cNvPr id="7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420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58</xdr:row>
      <xdr:rowOff>228600</xdr:rowOff>
    </xdr:from>
    <xdr:to>
      <xdr:col>3</xdr:col>
      <xdr:colOff>260350</xdr:colOff>
      <xdr:row>58</xdr:row>
      <xdr:rowOff>447675</xdr:rowOff>
    </xdr:to>
    <xdr:pic>
      <xdr:nvPicPr>
        <xdr:cNvPr id="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42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58</xdr:row>
      <xdr:rowOff>231775</xdr:rowOff>
    </xdr:from>
    <xdr:to>
      <xdr:col>3</xdr:col>
      <xdr:colOff>539750</xdr:colOff>
      <xdr:row>58</xdr:row>
      <xdr:rowOff>450850</xdr:rowOff>
    </xdr:to>
    <xdr:pic>
      <xdr:nvPicPr>
        <xdr:cNvPr id="7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420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58</xdr:row>
      <xdr:rowOff>228600</xdr:rowOff>
    </xdr:from>
    <xdr:to>
      <xdr:col>3</xdr:col>
      <xdr:colOff>260350</xdr:colOff>
      <xdr:row>58</xdr:row>
      <xdr:rowOff>447675</xdr:rowOff>
    </xdr:to>
    <xdr:pic>
      <xdr:nvPicPr>
        <xdr:cNvPr id="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42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58</xdr:row>
      <xdr:rowOff>231775</xdr:rowOff>
    </xdr:from>
    <xdr:to>
      <xdr:col>3</xdr:col>
      <xdr:colOff>539750</xdr:colOff>
      <xdr:row>58</xdr:row>
      <xdr:rowOff>450850</xdr:rowOff>
    </xdr:to>
    <xdr:pic>
      <xdr:nvPicPr>
        <xdr:cNvPr id="7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420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58</xdr:row>
      <xdr:rowOff>228600</xdr:rowOff>
    </xdr:from>
    <xdr:to>
      <xdr:col>10</xdr:col>
      <xdr:colOff>260350</xdr:colOff>
      <xdr:row>58</xdr:row>
      <xdr:rowOff>447675</xdr:rowOff>
    </xdr:to>
    <xdr:pic>
      <xdr:nvPicPr>
        <xdr:cNvPr id="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42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58</xdr:row>
      <xdr:rowOff>231775</xdr:rowOff>
    </xdr:from>
    <xdr:to>
      <xdr:col>10</xdr:col>
      <xdr:colOff>539750</xdr:colOff>
      <xdr:row>58</xdr:row>
      <xdr:rowOff>450850</xdr:rowOff>
    </xdr:to>
    <xdr:pic>
      <xdr:nvPicPr>
        <xdr:cNvPr id="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420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58</xdr:row>
      <xdr:rowOff>228600</xdr:rowOff>
    </xdr:from>
    <xdr:to>
      <xdr:col>3</xdr:col>
      <xdr:colOff>260350</xdr:colOff>
      <xdr:row>58</xdr:row>
      <xdr:rowOff>447675</xdr:rowOff>
    </xdr:to>
    <xdr:pic>
      <xdr:nvPicPr>
        <xdr:cNvPr id="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42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58</xdr:row>
      <xdr:rowOff>231775</xdr:rowOff>
    </xdr:from>
    <xdr:to>
      <xdr:col>3</xdr:col>
      <xdr:colOff>539750</xdr:colOff>
      <xdr:row>58</xdr:row>
      <xdr:rowOff>450850</xdr:rowOff>
    </xdr:to>
    <xdr:pic>
      <xdr:nvPicPr>
        <xdr:cNvPr id="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420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58</xdr:row>
      <xdr:rowOff>228600</xdr:rowOff>
    </xdr:from>
    <xdr:to>
      <xdr:col>10</xdr:col>
      <xdr:colOff>260350</xdr:colOff>
      <xdr:row>58</xdr:row>
      <xdr:rowOff>447675</xdr:rowOff>
    </xdr:to>
    <xdr:pic>
      <xdr:nvPicPr>
        <xdr:cNvPr id="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420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58</xdr:row>
      <xdr:rowOff>231775</xdr:rowOff>
    </xdr:from>
    <xdr:to>
      <xdr:col>10</xdr:col>
      <xdr:colOff>539750</xdr:colOff>
      <xdr:row>58</xdr:row>
      <xdr:rowOff>450850</xdr:rowOff>
    </xdr:to>
    <xdr:pic>
      <xdr:nvPicPr>
        <xdr:cNvPr id="7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420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811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7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811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811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811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811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811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811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811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811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7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811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4811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7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4811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48110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7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48113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</xdr:row>
      <xdr:rowOff>279400</xdr:rowOff>
    </xdr:from>
    <xdr:to>
      <xdr:col>3</xdr:col>
      <xdr:colOff>196850</xdr:colOff>
      <xdr:row>68</xdr:row>
      <xdr:rowOff>498475</xdr:rowOff>
    </xdr:to>
    <xdr:pic>
      <xdr:nvPicPr>
        <xdr:cNvPr id="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68</xdr:row>
      <xdr:rowOff>257175</xdr:rowOff>
    </xdr:from>
    <xdr:to>
      <xdr:col>3</xdr:col>
      <xdr:colOff>514350</xdr:colOff>
      <xdr:row>68</xdr:row>
      <xdr:rowOff>476250</xdr:rowOff>
    </xdr:to>
    <xdr:pic>
      <xdr:nvPicPr>
        <xdr:cNvPr id="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568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</xdr:row>
      <xdr:rowOff>279400</xdr:rowOff>
    </xdr:from>
    <xdr:to>
      <xdr:col>10</xdr:col>
      <xdr:colOff>196850</xdr:colOff>
      <xdr:row>68</xdr:row>
      <xdr:rowOff>498475</xdr:rowOff>
    </xdr:to>
    <xdr:pic>
      <xdr:nvPicPr>
        <xdr:cNvPr id="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68</xdr:row>
      <xdr:rowOff>257175</xdr:rowOff>
    </xdr:from>
    <xdr:to>
      <xdr:col>10</xdr:col>
      <xdr:colOff>514350</xdr:colOff>
      <xdr:row>68</xdr:row>
      <xdr:rowOff>476250</xdr:rowOff>
    </xdr:to>
    <xdr:pic>
      <xdr:nvPicPr>
        <xdr:cNvPr id="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1568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</xdr:row>
      <xdr:rowOff>279400</xdr:rowOff>
    </xdr:from>
    <xdr:to>
      <xdr:col>3</xdr:col>
      <xdr:colOff>196850</xdr:colOff>
      <xdr:row>68</xdr:row>
      <xdr:rowOff>498475</xdr:rowOff>
    </xdr:to>
    <xdr:pic>
      <xdr:nvPicPr>
        <xdr:cNvPr id="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68</xdr:row>
      <xdr:rowOff>257175</xdr:rowOff>
    </xdr:from>
    <xdr:to>
      <xdr:col>3</xdr:col>
      <xdr:colOff>514350</xdr:colOff>
      <xdr:row>68</xdr:row>
      <xdr:rowOff>476250</xdr:rowOff>
    </xdr:to>
    <xdr:pic>
      <xdr:nvPicPr>
        <xdr:cNvPr id="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568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</xdr:row>
      <xdr:rowOff>279400</xdr:rowOff>
    </xdr:from>
    <xdr:to>
      <xdr:col>3</xdr:col>
      <xdr:colOff>196850</xdr:colOff>
      <xdr:row>68</xdr:row>
      <xdr:rowOff>498475</xdr:rowOff>
    </xdr:to>
    <xdr:pic>
      <xdr:nvPicPr>
        <xdr:cNvPr id="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</xdr:row>
      <xdr:rowOff>279400</xdr:rowOff>
    </xdr:from>
    <xdr:to>
      <xdr:col>10</xdr:col>
      <xdr:colOff>196850</xdr:colOff>
      <xdr:row>68</xdr:row>
      <xdr:rowOff>498475</xdr:rowOff>
    </xdr:to>
    <xdr:pic>
      <xdr:nvPicPr>
        <xdr:cNvPr id="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</xdr:row>
      <xdr:rowOff>279400</xdr:rowOff>
    </xdr:from>
    <xdr:to>
      <xdr:col>3</xdr:col>
      <xdr:colOff>196850</xdr:colOff>
      <xdr:row>68</xdr:row>
      <xdr:rowOff>498475</xdr:rowOff>
    </xdr:to>
    <xdr:pic>
      <xdr:nvPicPr>
        <xdr:cNvPr id="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</xdr:row>
      <xdr:rowOff>279400</xdr:rowOff>
    </xdr:from>
    <xdr:to>
      <xdr:col>3</xdr:col>
      <xdr:colOff>196850</xdr:colOff>
      <xdr:row>68</xdr:row>
      <xdr:rowOff>498475</xdr:rowOff>
    </xdr:to>
    <xdr:pic>
      <xdr:nvPicPr>
        <xdr:cNvPr id="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</xdr:row>
      <xdr:rowOff>279400</xdr:rowOff>
    </xdr:from>
    <xdr:to>
      <xdr:col>10</xdr:col>
      <xdr:colOff>196850</xdr:colOff>
      <xdr:row>68</xdr:row>
      <xdr:rowOff>498475</xdr:rowOff>
    </xdr:to>
    <xdr:pic>
      <xdr:nvPicPr>
        <xdr:cNvPr id="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</xdr:row>
      <xdr:rowOff>279400</xdr:rowOff>
    </xdr:from>
    <xdr:to>
      <xdr:col>3</xdr:col>
      <xdr:colOff>196850</xdr:colOff>
      <xdr:row>68</xdr:row>
      <xdr:rowOff>498475</xdr:rowOff>
    </xdr:to>
    <xdr:pic>
      <xdr:nvPicPr>
        <xdr:cNvPr id="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590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68</xdr:row>
      <xdr:rowOff>228600</xdr:rowOff>
    </xdr:from>
    <xdr:to>
      <xdr:col>3</xdr:col>
      <xdr:colOff>260350</xdr:colOff>
      <xdr:row>68</xdr:row>
      <xdr:rowOff>447675</xdr:rowOff>
    </xdr:to>
    <xdr:pic>
      <xdr:nvPicPr>
        <xdr:cNvPr id="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153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68</xdr:row>
      <xdr:rowOff>231775</xdr:rowOff>
    </xdr:from>
    <xdr:to>
      <xdr:col>3</xdr:col>
      <xdr:colOff>539750</xdr:colOff>
      <xdr:row>68</xdr:row>
      <xdr:rowOff>450850</xdr:rowOff>
    </xdr:to>
    <xdr:pic>
      <xdr:nvPicPr>
        <xdr:cNvPr id="7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154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68</xdr:row>
      <xdr:rowOff>228600</xdr:rowOff>
    </xdr:from>
    <xdr:to>
      <xdr:col>10</xdr:col>
      <xdr:colOff>260350</xdr:colOff>
      <xdr:row>68</xdr:row>
      <xdr:rowOff>447675</xdr:rowOff>
    </xdr:to>
    <xdr:pic>
      <xdr:nvPicPr>
        <xdr:cNvPr id="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5153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68</xdr:row>
      <xdr:rowOff>231775</xdr:rowOff>
    </xdr:from>
    <xdr:to>
      <xdr:col>10</xdr:col>
      <xdr:colOff>539750</xdr:colOff>
      <xdr:row>68</xdr:row>
      <xdr:rowOff>450850</xdr:rowOff>
    </xdr:to>
    <xdr:pic>
      <xdr:nvPicPr>
        <xdr:cNvPr id="7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5154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68</xdr:row>
      <xdr:rowOff>228600</xdr:rowOff>
    </xdr:from>
    <xdr:to>
      <xdr:col>3</xdr:col>
      <xdr:colOff>260350</xdr:colOff>
      <xdr:row>68</xdr:row>
      <xdr:rowOff>447675</xdr:rowOff>
    </xdr:to>
    <xdr:pic>
      <xdr:nvPicPr>
        <xdr:cNvPr id="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153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68</xdr:row>
      <xdr:rowOff>231775</xdr:rowOff>
    </xdr:from>
    <xdr:to>
      <xdr:col>3</xdr:col>
      <xdr:colOff>539750</xdr:colOff>
      <xdr:row>68</xdr:row>
      <xdr:rowOff>450850</xdr:rowOff>
    </xdr:to>
    <xdr:pic>
      <xdr:nvPicPr>
        <xdr:cNvPr id="7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154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68</xdr:row>
      <xdr:rowOff>228600</xdr:rowOff>
    </xdr:from>
    <xdr:to>
      <xdr:col>3</xdr:col>
      <xdr:colOff>260350</xdr:colOff>
      <xdr:row>68</xdr:row>
      <xdr:rowOff>447675</xdr:rowOff>
    </xdr:to>
    <xdr:pic>
      <xdr:nvPicPr>
        <xdr:cNvPr id="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153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68</xdr:row>
      <xdr:rowOff>231775</xdr:rowOff>
    </xdr:from>
    <xdr:to>
      <xdr:col>3</xdr:col>
      <xdr:colOff>539750</xdr:colOff>
      <xdr:row>68</xdr:row>
      <xdr:rowOff>450850</xdr:rowOff>
    </xdr:to>
    <xdr:pic>
      <xdr:nvPicPr>
        <xdr:cNvPr id="7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154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68</xdr:row>
      <xdr:rowOff>228600</xdr:rowOff>
    </xdr:from>
    <xdr:to>
      <xdr:col>10</xdr:col>
      <xdr:colOff>260350</xdr:colOff>
      <xdr:row>68</xdr:row>
      <xdr:rowOff>447675</xdr:rowOff>
    </xdr:to>
    <xdr:pic>
      <xdr:nvPicPr>
        <xdr:cNvPr id="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5153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68</xdr:row>
      <xdr:rowOff>231775</xdr:rowOff>
    </xdr:from>
    <xdr:to>
      <xdr:col>10</xdr:col>
      <xdr:colOff>539750</xdr:colOff>
      <xdr:row>68</xdr:row>
      <xdr:rowOff>450850</xdr:rowOff>
    </xdr:to>
    <xdr:pic>
      <xdr:nvPicPr>
        <xdr:cNvPr id="7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5154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68</xdr:row>
      <xdr:rowOff>228600</xdr:rowOff>
    </xdr:from>
    <xdr:to>
      <xdr:col>3</xdr:col>
      <xdr:colOff>260350</xdr:colOff>
      <xdr:row>68</xdr:row>
      <xdr:rowOff>447675</xdr:rowOff>
    </xdr:to>
    <xdr:pic>
      <xdr:nvPicPr>
        <xdr:cNvPr id="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153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68</xdr:row>
      <xdr:rowOff>231775</xdr:rowOff>
    </xdr:from>
    <xdr:to>
      <xdr:col>3</xdr:col>
      <xdr:colOff>539750</xdr:colOff>
      <xdr:row>68</xdr:row>
      <xdr:rowOff>450850</xdr:rowOff>
    </xdr:to>
    <xdr:pic>
      <xdr:nvPicPr>
        <xdr:cNvPr id="7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154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68</xdr:row>
      <xdr:rowOff>228600</xdr:rowOff>
    </xdr:from>
    <xdr:to>
      <xdr:col>10</xdr:col>
      <xdr:colOff>260350</xdr:colOff>
      <xdr:row>68</xdr:row>
      <xdr:rowOff>447675</xdr:rowOff>
    </xdr:to>
    <xdr:pic>
      <xdr:nvPicPr>
        <xdr:cNvPr id="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51539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68</xdr:row>
      <xdr:rowOff>231775</xdr:rowOff>
    </xdr:from>
    <xdr:to>
      <xdr:col>10</xdr:col>
      <xdr:colOff>539750</xdr:colOff>
      <xdr:row>68</xdr:row>
      <xdr:rowOff>450850</xdr:rowOff>
    </xdr:to>
    <xdr:pic>
      <xdr:nvPicPr>
        <xdr:cNvPr id="7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5154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</xdr:row>
      <xdr:rowOff>279400</xdr:rowOff>
    </xdr:from>
    <xdr:to>
      <xdr:col>3</xdr:col>
      <xdr:colOff>196850</xdr:colOff>
      <xdr:row>76</xdr:row>
      <xdr:rowOff>498475</xdr:rowOff>
    </xdr:to>
    <xdr:pic>
      <xdr:nvPicPr>
        <xdr:cNvPr id="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</xdr:row>
      <xdr:rowOff>257175</xdr:rowOff>
    </xdr:from>
    <xdr:to>
      <xdr:col>3</xdr:col>
      <xdr:colOff>514350</xdr:colOff>
      <xdr:row>76</xdr:row>
      <xdr:rowOff>476250</xdr:rowOff>
    </xdr:to>
    <xdr:pic>
      <xdr:nvPicPr>
        <xdr:cNvPr id="7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44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</xdr:row>
      <xdr:rowOff>279400</xdr:rowOff>
    </xdr:from>
    <xdr:to>
      <xdr:col>10</xdr:col>
      <xdr:colOff>196850</xdr:colOff>
      <xdr:row>76</xdr:row>
      <xdr:rowOff>498475</xdr:rowOff>
    </xdr:to>
    <xdr:pic>
      <xdr:nvPicPr>
        <xdr:cNvPr id="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</xdr:row>
      <xdr:rowOff>257175</xdr:rowOff>
    </xdr:from>
    <xdr:to>
      <xdr:col>10</xdr:col>
      <xdr:colOff>514350</xdr:colOff>
      <xdr:row>76</xdr:row>
      <xdr:rowOff>476250</xdr:rowOff>
    </xdr:to>
    <xdr:pic>
      <xdr:nvPicPr>
        <xdr:cNvPr id="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744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</xdr:row>
      <xdr:rowOff>279400</xdr:rowOff>
    </xdr:from>
    <xdr:to>
      <xdr:col>3</xdr:col>
      <xdr:colOff>196850</xdr:colOff>
      <xdr:row>76</xdr:row>
      <xdr:rowOff>498475</xdr:rowOff>
    </xdr:to>
    <xdr:pic>
      <xdr:nvPicPr>
        <xdr:cNvPr id="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</xdr:row>
      <xdr:rowOff>257175</xdr:rowOff>
    </xdr:from>
    <xdr:to>
      <xdr:col>3</xdr:col>
      <xdr:colOff>514350</xdr:colOff>
      <xdr:row>76</xdr:row>
      <xdr:rowOff>476250</xdr:rowOff>
    </xdr:to>
    <xdr:pic>
      <xdr:nvPicPr>
        <xdr:cNvPr id="7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445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</xdr:row>
      <xdr:rowOff>279400</xdr:rowOff>
    </xdr:from>
    <xdr:to>
      <xdr:col>3</xdr:col>
      <xdr:colOff>196850</xdr:colOff>
      <xdr:row>76</xdr:row>
      <xdr:rowOff>498475</xdr:rowOff>
    </xdr:to>
    <xdr:pic>
      <xdr:nvPicPr>
        <xdr:cNvPr id="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</xdr:row>
      <xdr:rowOff>279400</xdr:rowOff>
    </xdr:from>
    <xdr:to>
      <xdr:col>10</xdr:col>
      <xdr:colOff>196850</xdr:colOff>
      <xdr:row>76</xdr:row>
      <xdr:rowOff>498475</xdr:rowOff>
    </xdr:to>
    <xdr:pic>
      <xdr:nvPicPr>
        <xdr:cNvPr id="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</xdr:row>
      <xdr:rowOff>279400</xdr:rowOff>
    </xdr:from>
    <xdr:to>
      <xdr:col>3</xdr:col>
      <xdr:colOff>196850</xdr:colOff>
      <xdr:row>76</xdr:row>
      <xdr:rowOff>498475</xdr:rowOff>
    </xdr:to>
    <xdr:pic>
      <xdr:nvPicPr>
        <xdr:cNvPr id="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</xdr:row>
      <xdr:rowOff>279400</xdr:rowOff>
    </xdr:from>
    <xdr:to>
      <xdr:col>3</xdr:col>
      <xdr:colOff>196850</xdr:colOff>
      <xdr:row>76</xdr:row>
      <xdr:rowOff>498475</xdr:rowOff>
    </xdr:to>
    <xdr:pic>
      <xdr:nvPicPr>
        <xdr:cNvPr id="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</xdr:row>
      <xdr:rowOff>279400</xdr:rowOff>
    </xdr:from>
    <xdr:to>
      <xdr:col>10</xdr:col>
      <xdr:colOff>196850</xdr:colOff>
      <xdr:row>76</xdr:row>
      <xdr:rowOff>498475</xdr:rowOff>
    </xdr:to>
    <xdr:pic>
      <xdr:nvPicPr>
        <xdr:cNvPr id="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</xdr:row>
      <xdr:rowOff>279400</xdr:rowOff>
    </xdr:from>
    <xdr:to>
      <xdr:col>3</xdr:col>
      <xdr:colOff>196850</xdr:colOff>
      <xdr:row>76</xdr:row>
      <xdr:rowOff>498475</xdr:rowOff>
    </xdr:to>
    <xdr:pic>
      <xdr:nvPicPr>
        <xdr:cNvPr id="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467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76</xdr:row>
      <xdr:rowOff>228600</xdr:rowOff>
    </xdr:from>
    <xdr:to>
      <xdr:col>3</xdr:col>
      <xdr:colOff>260350</xdr:colOff>
      <xdr:row>76</xdr:row>
      <xdr:rowOff>447675</xdr:rowOff>
    </xdr:to>
    <xdr:pic>
      <xdr:nvPicPr>
        <xdr:cNvPr id="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741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76</xdr:row>
      <xdr:rowOff>231775</xdr:rowOff>
    </xdr:from>
    <xdr:to>
      <xdr:col>3</xdr:col>
      <xdr:colOff>539750</xdr:colOff>
      <xdr:row>76</xdr:row>
      <xdr:rowOff>450850</xdr:rowOff>
    </xdr:to>
    <xdr:pic>
      <xdr:nvPicPr>
        <xdr:cNvPr id="7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74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76</xdr:row>
      <xdr:rowOff>228600</xdr:rowOff>
    </xdr:from>
    <xdr:to>
      <xdr:col>10</xdr:col>
      <xdr:colOff>260350</xdr:colOff>
      <xdr:row>76</xdr:row>
      <xdr:rowOff>447675</xdr:rowOff>
    </xdr:to>
    <xdr:pic>
      <xdr:nvPicPr>
        <xdr:cNvPr id="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5741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76</xdr:row>
      <xdr:rowOff>231775</xdr:rowOff>
    </xdr:from>
    <xdr:to>
      <xdr:col>10</xdr:col>
      <xdr:colOff>539750</xdr:colOff>
      <xdr:row>76</xdr:row>
      <xdr:rowOff>450850</xdr:rowOff>
    </xdr:to>
    <xdr:pic>
      <xdr:nvPicPr>
        <xdr:cNvPr id="7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574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76</xdr:row>
      <xdr:rowOff>228600</xdr:rowOff>
    </xdr:from>
    <xdr:to>
      <xdr:col>3</xdr:col>
      <xdr:colOff>260350</xdr:colOff>
      <xdr:row>76</xdr:row>
      <xdr:rowOff>447675</xdr:rowOff>
    </xdr:to>
    <xdr:pic>
      <xdr:nvPicPr>
        <xdr:cNvPr id="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741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76</xdr:row>
      <xdr:rowOff>231775</xdr:rowOff>
    </xdr:from>
    <xdr:to>
      <xdr:col>3</xdr:col>
      <xdr:colOff>539750</xdr:colOff>
      <xdr:row>76</xdr:row>
      <xdr:rowOff>450850</xdr:rowOff>
    </xdr:to>
    <xdr:pic>
      <xdr:nvPicPr>
        <xdr:cNvPr id="7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74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76</xdr:row>
      <xdr:rowOff>228600</xdr:rowOff>
    </xdr:from>
    <xdr:to>
      <xdr:col>3</xdr:col>
      <xdr:colOff>260350</xdr:colOff>
      <xdr:row>76</xdr:row>
      <xdr:rowOff>447675</xdr:rowOff>
    </xdr:to>
    <xdr:pic>
      <xdr:nvPicPr>
        <xdr:cNvPr id="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741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76</xdr:row>
      <xdr:rowOff>231775</xdr:rowOff>
    </xdr:from>
    <xdr:to>
      <xdr:col>3</xdr:col>
      <xdr:colOff>539750</xdr:colOff>
      <xdr:row>76</xdr:row>
      <xdr:rowOff>450850</xdr:rowOff>
    </xdr:to>
    <xdr:pic>
      <xdr:nvPicPr>
        <xdr:cNvPr id="7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74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76</xdr:row>
      <xdr:rowOff>228600</xdr:rowOff>
    </xdr:from>
    <xdr:to>
      <xdr:col>10</xdr:col>
      <xdr:colOff>260350</xdr:colOff>
      <xdr:row>76</xdr:row>
      <xdr:rowOff>447675</xdr:rowOff>
    </xdr:to>
    <xdr:pic>
      <xdr:nvPicPr>
        <xdr:cNvPr id="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5741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76</xdr:row>
      <xdr:rowOff>231775</xdr:rowOff>
    </xdr:from>
    <xdr:to>
      <xdr:col>10</xdr:col>
      <xdr:colOff>539750</xdr:colOff>
      <xdr:row>76</xdr:row>
      <xdr:rowOff>450850</xdr:rowOff>
    </xdr:to>
    <xdr:pic>
      <xdr:nvPicPr>
        <xdr:cNvPr id="7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574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76</xdr:row>
      <xdr:rowOff>228600</xdr:rowOff>
    </xdr:from>
    <xdr:to>
      <xdr:col>3</xdr:col>
      <xdr:colOff>260350</xdr:colOff>
      <xdr:row>76</xdr:row>
      <xdr:rowOff>447675</xdr:rowOff>
    </xdr:to>
    <xdr:pic>
      <xdr:nvPicPr>
        <xdr:cNvPr id="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5741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76</xdr:row>
      <xdr:rowOff>231775</xdr:rowOff>
    </xdr:from>
    <xdr:to>
      <xdr:col>3</xdr:col>
      <xdr:colOff>539750</xdr:colOff>
      <xdr:row>76</xdr:row>
      <xdr:rowOff>450850</xdr:rowOff>
    </xdr:to>
    <xdr:pic>
      <xdr:nvPicPr>
        <xdr:cNvPr id="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574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76</xdr:row>
      <xdr:rowOff>228600</xdr:rowOff>
    </xdr:from>
    <xdr:to>
      <xdr:col>10</xdr:col>
      <xdr:colOff>260350</xdr:colOff>
      <xdr:row>76</xdr:row>
      <xdr:rowOff>447675</xdr:rowOff>
    </xdr:to>
    <xdr:pic>
      <xdr:nvPicPr>
        <xdr:cNvPr id="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5741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76</xdr:row>
      <xdr:rowOff>231775</xdr:rowOff>
    </xdr:from>
    <xdr:to>
      <xdr:col>10</xdr:col>
      <xdr:colOff>539750</xdr:colOff>
      <xdr:row>76</xdr:row>
      <xdr:rowOff>450850</xdr:rowOff>
    </xdr:to>
    <xdr:pic>
      <xdr:nvPicPr>
        <xdr:cNvPr id="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574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</xdr:row>
      <xdr:rowOff>257175</xdr:rowOff>
    </xdr:from>
    <xdr:to>
      <xdr:col>3</xdr:col>
      <xdr:colOff>514350</xdr:colOff>
      <xdr:row>80</xdr:row>
      <xdr:rowOff>476250</xdr:rowOff>
    </xdr:to>
    <xdr:pic>
      <xdr:nvPicPr>
        <xdr:cNvPr id="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32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</xdr:row>
      <xdr:rowOff>257175</xdr:rowOff>
    </xdr:from>
    <xdr:to>
      <xdr:col>10</xdr:col>
      <xdr:colOff>514350</xdr:colOff>
      <xdr:row>80</xdr:row>
      <xdr:rowOff>476250</xdr:rowOff>
    </xdr:to>
    <xdr:pic>
      <xdr:nvPicPr>
        <xdr:cNvPr id="7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032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</xdr:row>
      <xdr:rowOff>257175</xdr:rowOff>
    </xdr:from>
    <xdr:to>
      <xdr:col>3</xdr:col>
      <xdr:colOff>514350</xdr:colOff>
      <xdr:row>80</xdr:row>
      <xdr:rowOff>476250</xdr:rowOff>
    </xdr:to>
    <xdr:pic>
      <xdr:nvPicPr>
        <xdr:cNvPr id="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321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</xdr:row>
      <xdr:rowOff>279400</xdr:rowOff>
    </xdr:from>
    <xdr:to>
      <xdr:col>10</xdr:col>
      <xdr:colOff>196850</xdr:colOff>
      <xdr:row>80</xdr:row>
      <xdr:rowOff>498475</xdr:rowOff>
    </xdr:to>
    <xdr:pic>
      <xdr:nvPicPr>
        <xdr:cNvPr id="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</xdr:row>
      <xdr:rowOff>279400</xdr:rowOff>
    </xdr:from>
    <xdr:to>
      <xdr:col>3</xdr:col>
      <xdr:colOff>196850</xdr:colOff>
      <xdr:row>80</xdr:row>
      <xdr:rowOff>498475</xdr:rowOff>
    </xdr:to>
    <xdr:pic>
      <xdr:nvPicPr>
        <xdr:cNvPr id="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344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80</xdr:row>
      <xdr:rowOff>228600</xdr:rowOff>
    </xdr:from>
    <xdr:to>
      <xdr:col>3</xdr:col>
      <xdr:colOff>260350</xdr:colOff>
      <xdr:row>80</xdr:row>
      <xdr:rowOff>447675</xdr:rowOff>
    </xdr:to>
    <xdr:pic>
      <xdr:nvPicPr>
        <xdr:cNvPr id="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029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80</xdr:row>
      <xdr:rowOff>231775</xdr:rowOff>
    </xdr:from>
    <xdr:to>
      <xdr:col>3</xdr:col>
      <xdr:colOff>539750</xdr:colOff>
      <xdr:row>80</xdr:row>
      <xdr:rowOff>450850</xdr:rowOff>
    </xdr:to>
    <xdr:pic>
      <xdr:nvPicPr>
        <xdr:cNvPr id="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029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80</xdr:row>
      <xdr:rowOff>228600</xdr:rowOff>
    </xdr:from>
    <xdr:to>
      <xdr:col>10</xdr:col>
      <xdr:colOff>260350</xdr:colOff>
      <xdr:row>80</xdr:row>
      <xdr:rowOff>447675</xdr:rowOff>
    </xdr:to>
    <xdr:pic>
      <xdr:nvPicPr>
        <xdr:cNvPr id="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029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80</xdr:row>
      <xdr:rowOff>231775</xdr:rowOff>
    </xdr:from>
    <xdr:to>
      <xdr:col>10</xdr:col>
      <xdr:colOff>539750</xdr:colOff>
      <xdr:row>80</xdr:row>
      <xdr:rowOff>450850</xdr:rowOff>
    </xdr:to>
    <xdr:pic>
      <xdr:nvPicPr>
        <xdr:cNvPr id="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029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80</xdr:row>
      <xdr:rowOff>228600</xdr:rowOff>
    </xdr:from>
    <xdr:to>
      <xdr:col>3</xdr:col>
      <xdr:colOff>260350</xdr:colOff>
      <xdr:row>80</xdr:row>
      <xdr:rowOff>447675</xdr:rowOff>
    </xdr:to>
    <xdr:pic>
      <xdr:nvPicPr>
        <xdr:cNvPr id="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029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80</xdr:row>
      <xdr:rowOff>231775</xdr:rowOff>
    </xdr:from>
    <xdr:to>
      <xdr:col>3</xdr:col>
      <xdr:colOff>539750</xdr:colOff>
      <xdr:row>80</xdr:row>
      <xdr:rowOff>450850</xdr:rowOff>
    </xdr:to>
    <xdr:pic>
      <xdr:nvPicPr>
        <xdr:cNvPr id="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029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80</xdr:row>
      <xdr:rowOff>228600</xdr:rowOff>
    </xdr:from>
    <xdr:to>
      <xdr:col>3</xdr:col>
      <xdr:colOff>260350</xdr:colOff>
      <xdr:row>80</xdr:row>
      <xdr:rowOff>447675</xdr:rowOff>
    </xdr:to>
    <xdr:pic>
      <xdr:nvPicPr>
        <xdr:cNvPr id="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029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80</xdr:row>
      <xdr:rowOff>231775</xdr:rowOff>
    </xdr:from>
    <xdr:to>
      <xdr:col>3</xdr:col>
      <xdr:colOff>539750</xdr:colOff>
      <xdr:row>80</xdr:row>
      <xdr:rowOff>450850</xdr:rowOff>
    </xdr:to>
    <xdr:pic>
      <xdr:nvPicPr>
        <xdr:cNvPr id="8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029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80</xdr:row>
      <xdr:rowOff>228600</xdr:rowOff>
    </xdr:from>
    <xdr:to>
      <xdr:col>10</xdr:col>
      <xdr:colOff>260350</xdr:colOff>
      <xdr:row>80</xdr:row>
      <xdr:rowOff>447675</xdr:rowOff>
    </xdr:to>
    <xdr:pic>
      <xdr:nvPicPr>
        <xdr:cNvPr id="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029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80</xdr:row>
      <xdr:rowOff>231775</xdr:rowOff>
    </xdr:from>
    <xdr:to>
      <xdr:col>10</xdr:col>
      <xdr:colOff>539750</xdr:colOff>
      <xdr:row>80</xdr:row>
      <xdr:rowOff>450850</xdr:rowOff>
    </xdr:to>
    <xdr:pic>
      <xdr:nvPicPr>
        <xdr:cNvPr id="8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029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80</xdr:row>
      <xdr:rowOff>228600</xdr:rowOff>
    </xdr:from>
    <xdr:to>
      <xdr:col>3</xdr:col>
      <xdr:colOff>260350</xdr:colOff>
      <xdr:row>80</xdr:row>
      <xdr:rowOff>447675</xdr:rowOff>
    </xdr:to>
    <xdr:pic>
      <xdr:nvPicPr>
        <xdr:cNvPr id="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029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80</xdr:row>
      <xdr:rowOff>231775</xdr:rowOff>
    </xdr:from>
    <xdr:to>
      <xdr:col>3</xdr:col>
      <xdr:colOff>539750</xdr:colOff>
      <xdr:row>80</xdr:row>
      <xdr:rowOff>450850</xdr:rowOff>
    </xdr:to>
    <xdr:pic>
      <xdr:nvPicPr>
        <xdr:cNvPr id="8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029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80</xdr:row>
      <xdr:rowOff>228600</xdr:rowOff>
    </xdr:from>
    <xdr:to>
      <xdr:col>10</xdr:col>
      <xdr:colOff>260350</xdr:colOff>
      <xdr:row>80</xdr:row>
      <xdr:rowOff>447675</xdr:rowOff>
    </xdr:to>
    <xdr:pic>
      <xdr:nvPicPr>
        <xdr:cNvPr id="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029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80</xdr:row>
      <xdr:rowOff>231775</xdr:rowOff>
    </xdr:from>
    <xdr:to>
      <xdr:col>10</xdr:col>
      <xdr:colOff>539750</xdr:colOff>
      <xdr:row>80</xdr:row>
      <xdr:rowOff>450850</xdr:rowOff>
    </xdr:to>
    <xdr:pic>
      <xdr:nvPicPr>
        <xdr:cNvPr id="8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029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</xdr:row>
      <xdr:rowOff>257175</xdr:rowOff>
    </xdr:from>
    <xdr:to>
      <xdr:col>3</xdr:col>
      <xdr:colOff>514350</xdr:colOff>
      <xdr:row>85</xdr:row>
      <xdr:rowOff>476250</xdr:rowOff>
    </xdr:to>
    <xdr:pic>
      <xdr:nvPicPr>
        <xdr:cNvPr id="8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484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</xdr:row>
      <xdr:rowOff>279400</xdr:rowOff>
    </xdr:from>
    <xdr:to>
      <xdr:col>10</xdr:col>
      <xdr:colOff>196850</xdr:colOff>
      <xdr:row>85</xdr:row>
      <xdr:rowOff>498475</xdr:rowOff>
    </xdr:to>
    <xdr:pic>
      <xdr:nvPicPr>
        <xdr:cNvPr id="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</xdr:row>
      <xdr:rowOff>257175</xdr:rowOff>
    </xdr:from>
    <xdr:to>
      <xdr:col>10</xdr:col>
      <xdr:colOff>514350</xdr:colOff>
      <xdr:row>85</xdr:row>
      <xdr:rowOff>476250</xdr:rowOff>
    </xdr:to>
    <xdr:pic>
      <xdr:nvPicPr>
        <xdr:cNvPr id="8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4484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</xdr:row>
      <xdr:rowOff>257175</xdr:rowOff>
    </xdr:from>
    <xdr:to>
      <xdr:col>3</xdr:col>
      <xdr:colOff>514350</xdr:colOff>
      <xdr:row>85</xdr:row>
      <xdr:rowOff>476250</xdr:rowOff>
    </xdr:to>
    <xdr:pic>
      <xdr:nvPicPr>
        <xdr:cNvPr id="8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484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</xdr:row>
      <xdr:rowOff>279400</xdr:rowOff>
    </xdr:from>
    <xdr:to>
      <xdr:col>10</xdr:col>
      <xdr:colOff>196850</xdr:colOff>
      <xdr:row>85</xdr:row>
      <xdr:rowOff>498475</xdr:rowOff>
    </xdr:to>
    <xdr:pic>
      <xdr:nvPicPr>
        <xdr:cNvPr id="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</xdr:row>
      <xdr:rowOff>279400</xdr:rowOff>
    </xdr:from>
    <xdr:to>
      <xdr:col>10</xdr:col>
      <xdr:colOff>196850</xdr:colOff>
      <xdr:row>85</xdr:row>
      <xdr:rowOff>498475</xdr:rowOff>
    </xdr:to>
    <xdr:pic>
      <xdr:nvPicPr>
        <xdr:cNvPr id="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</xdr:row>
      <xdr:rowOff>279400</xdr:rowOff>
    </xdr:from>
    <xdr:to>
      <xdr:col>10</xdr:col>
      <xdr:colOff>196850</xdr:colOff>
      <xdr:row>85</xdr:row>
      <xdr:rowOff>498475</xdr:rowOff>
    </xdr:to>
    <xdr:pic>
      <xdr:nvPicPr>
        <xdr:cNvPr id="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</xdr:row>
      <xdr:rowOff>279400</xdr:rowOff>
    </xdr:from>
    <xdr:to>
      <xdr:col>10</xdr:col>
      <xdr:colOff>196850</xdr:colOff>
      <xdr:row>85</xdr:row>
      <xdr:rowOff>498475</xdr:rowOff>
    </xdr:to>
    <xdr:pic>
      <xdr:nvPicPr>
        <xdr:cNvPr id="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</xdr:row>
      <xdr:rowOff>257175</xdr:rowOff>
    </xdr:from>
    <xdr:to>
      <xdr:col>3</xdr:col>
      <xdr:colOff>514350</xdr:colOff>
      <xdr:row>85</xdr:row>
      <xdr:rowOff>476250</xdr:rowOff>
    </xdr:to>
    <xdr:pic>
      <xdr:nvPicPr>
        <xdr:cNvPr id="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484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</xdr:row>
      <xdr:rowOff>279400</xdr:rowOff>
    </xdr:from>
    <xdr:to>
      <xdr:col>10</xdr:col>
      <xdr:colOff>196850</xdr:colOff>
      <xdr:row>85</xdr:row>
      <xdr:rowOff>498475</xdr:rowOff>
    </xdr:to>
    <xdr:pic>
      <xdr:nvPicPr>
        <xdr:cNvPr id="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</xdr:row>
      <xdr:rowOff>257175</xdr:rowOff>
    </xdr:from>
    <xdr:to>
      <xdr:col>10</xdr:col>
      <xdr:colOff>514350</xdr:colOff>
      <xdr:row>85</xdr:row>
      <xdr:rowOff>476250</xdr:rowOff>
    </xdr:to>
    <xdr:pic>
      <xdr:nvPicPr>
        <xdr:cNvPr id="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4484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</xdr:row>
      <xdr:rowOff>257175</xdr:rowOff>
    </xdr:from>
    <xdr:to>
      <xdr:col>3</xdr:col>
      <xdr:colOff>514350</xdr:colOff>
      <xdr:row>85</xdr:row>
      <xdr:rowOff>476250</xdr:rowOff>
    </xdr:to>
    <xdr:pic>
      <xdr:nvPicPr>
        <xdr:cNvPr id="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484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</xdr:row>
      <xdr:rowOff>279400</xdr:rowOff>
    </xdr:from>
    <xdr:to>
      <xdr:col>10</xdr:col>
      <xdr:colOff>196850</xdr:colOff>
      <xdr:row>85</xdr:row>
      <xdr:rowOff>498475</xdr:rowOff>
    </xdr:to>
    <xdr:pic>
      <xdr:nvPicPr>
        <xdr:cNvPr id="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</xdr:row>
      <xdr:rowOff>279400</xdr:rowOff>
    </xdr:from>
    <xdr:to>
      <xdr:col>10</xdr:col>
      <xdr:colOff>196850</xdr:colOff>
      <xdr:row>85</xdr:row>
      <xdr:rowOff>498475</xdr:rowOff>
    </xdr:to>
    <xdr:pic>
      <xdr:nvPicPr>
        <xdr:cNvPr id="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</xdr:row>
      <xdr:rowOff>279400</xdr:rowOff>
    </xdr:from>
    <xdr:to>
      <xdr:col>3</xdr:col>
      <xdr:colOff>196850</xdr:colOff>
      <xdr:row>85</xdr:row>
      <xdr:rowOff>498475</xdr:rowOff>
    </xdr:to>
    <xdr:pic>
      <xdr:nvPicPr>
        <xdr:cNvPr id="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506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85</xdr:row>
      <xdr:rowOff>228600</xdr:rowOff>
    </xdr:from>
    <xdr:to>
      <xdr:col>3</xdr:col>
      <xdr:colOff>260350</xdr:colOff>
      <xdr:row>85</xdr:row>
      <xdr:rowOff>447675</xdr:rowOff>
    </xdr:to>
    <xdr:pic>
      <xdr:nvPicPr>
        <xdr:cNvPr id="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445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85</xdr:row>
      <xdr:rowOff>231775</xdr:rowOff>
    </xdr:from>
    <xdr:to>
      <xdr:col>3</xdr:col>
      <xdr:colOff>539750</xdr:colOff>
      <xdr:row>85</xdr:row>
      <xdr:rowOff>450850</xdr:rowOff>
    </xdr:to>
    <xdr:pic>
      <xdr:nvPicPr>
        <xdr:cNvPr id="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44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85</xdr:row>
      <xdr:rowOff>228600</xdr:rowOff>
    </xdr:from>
    <xdr:to>
      <xdr:col>10</xdr:col>
      <xdr:colOff>260350</xdr:colOff>
      <xdr:row>85</xdr:row>
      <xdr:rowOff>447675</xdr:rowOff>
    </xdr:to>
    <xdr:pic>
      <xdr:nvPicPr>
        <xdr:cNvPr id="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445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85</xdr:row>
      <xdr:rowOff>231775</xdr:rowOff>
    </xdr:from>
    <xdr:to>
      <xdr:col>10</xdr:col>
      <xdr:colOff>539750</xdr:colOff>
      <xdr:row>85</xdr:row>
      <xdr:rowOff>450850</xdr:rowOff>
    </xdr:to>
    <xdr:pic>
      <xdr:nvPicPr>
        <xdr:cNvPr id="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44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85</xdr:row>
      <xdr:rowOff>228600</xdr:rowOff>
    </xdr:from>
    <xdr:to>
      <xdr:col>3</xdr:col>
      <xdr:colOff>260350</xdr:colOff>
      <xdr:row>85</xdr:row>
      <xdr:rowOff>447675</xdr:rowOff>
    </xdr:to>
    <xdr:pic>
      <xdr:nvPicPr>
        <xdr:cNvPr id="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445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85</xdr:row>
      <xdr:rowOff>231775</xdr:rowOff>
    </xdr:from>
    <xdr:to>
      <xdr:col>3</xdr:col>
      <xdr:colOff>539750</xdr:colOff>
      <xdr:row>85</xdr:row>
      <xdr:rowOff>450850</xdr:rowOff>
    </xdr:to>
    <xdr:pic>
      <xdr:nvPicPr>
        <xdr:cNvPr id="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44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85</xdr:row>
      <xdr:rowOff>228600</xdr:rowOff>
    </xdr:from>
    <xdr:to>
      <xdr:col>3</xdr:col>
      <xdr:colOff>260350</xdr:colOff>
      <xdr:row>85</xdr:row>
      <xdr:rowOff>447675</xdr:rowOff>
    </xdr:to>
    <xdr:pic>
      <xdr:nvPicPr>
        <xdr:cNvPr id="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445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85</xdr:row>
      <xdr:rowOff>231775</xdr:rowOff>
    </xdr:from>
    <xdr:to>
      <xdr:col>3</xdr:col>
      <xdr:colOff>539750</xdr:colOff>
      <xdr:row>85</xdr:row>
      <xdr:rowOff>450850</xdr:rowOff>
    </xdr:to>
    <xdr:pic>
      <xdr:nvPicPr>
        <xdr:cNvPr id="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44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85</xdr:row>
      <xdr:rowOff>228600</xdr:rowOff>
    </xdr:from>
    <xdr:to>
      <xdr:col>10</xdr:col>
      <xdr:colOff>260350</xdr:colOff>
      <xdr:row>85</xdr:row>
      <xdr:rowOff>447675</xdr:rowOff>
    </xdr:to>
    <xdr:pic>
      <xdr:nvPicPr>
        <xdr:cNvPr id="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445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85</xdr:row>
      <xdr:rowOff>231775</xdr:rowOff>
    </xdr:from>
    <xdr:to>
      <xdr:col>10</xdr:col>
      <xdr:colOff>539750</xdr:colOff>
      <xdr:row>85</xdr:row>
      <xdr:rowOff>450850</xdr:rowOff>
    </xdr:to>
    <xdr:pic>
      <xdr:nvPicPr>
        <xdr:cNvPr id="8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44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85</xdr:row>
      <xdr:rowOff>228600</xdr:rowOff>
    </xdr:from>
    <xdr:to>
      <xdr:col>3</xdr:col>
      <xdr:colOff>260350</xdr:colOff>
      <xdr:row>85</xdr:row>
      <xdr:rowOff>447675</xdr:rowOff>
    </xdr:to>
    <xdr:pic>
      <xdr:nvPicPr>
        <xdr:cNvPr id="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445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85</xdr:row>
      <xdr:rowOff>231775</xdr:rowOff>
    </xdr:from>
    <xdr:to>
      <xdr:col>3</xdr:col>
      <xdr:colOff>539750</xdr:colOff>
      <xdr:row>85</xdr:row>
      <xdr:rowOff>450850</xdr:rowOff>
    </xdr:to>
    <xdr:pic>
      <xdr:nvPicPr>
        <xdr:cNvPr id="8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44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85</xdr:row>
      <xdr:rowOff>228600</xdr:rowOff>
    </xdr:from>
    <xdr:to>
      <xdr:col>10</xdr:col>
      <xdr:colOff>260350</xdr:colOff>
      <xdr:row>85</xdr:row>
      <xdr:rowOff>447675</xdr:rowOff>
    </xdr:to>
    <xdr:pic>
      <xdr:nvPicPr>
        <xdr:cNvPr id="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445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85</xdr:row>
      <xdr:rowOff>231775</xdr:rowOff>
    </xdr:from>
    <xdr:to>
      <xdr:col>10</xdr:col>
      <xdr:colOff>539750</xdr:colOff>
      <xdr:row>85</xdr:row>
      <xdr:rowOff>450850</xdr:rowOff>
    </xdr:to>
    <xdr:pic>
      <xdr:nvPicPr>
        <xdr:cNvPr id="8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445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</xdr:row>
      <xdr:rowOff>257175</xdr:rowOff>
    </xdr:from>
    <xdr:to>
      <xdr:col>3</xdr:col>
      <xdr:colOff>514350</xdr:colOff>
      <xdr:row>89</xdr:row>
      <xdr:rowOff>476250</xdr:rowOff>
    </xdr:to>
    <xdr:pic>
      <xdr:nvPicPr>
        <xdr:cNvPr id="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27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</xdr:row>
      <xdr:rowOff>257175</xdr:rowOff>
    </xdr:from>
    <xdr:to>
      <xdr:col>10</xdr:col>
      <xdr:colOff>514350</xdr:colOff>
      <xdr:row>89</xdr:row>
      <xdr:rowOff>476250</xdr:rowOff>
    </xdr:to>
    <xdr:pic>
      <xdr:nvPicPr>
        <xdr:cNvPr id="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727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</xdr:row>
      <xdr:rowOff>257175</xdr:rowOff>
    </xdr:from>
    <xdr:to>
      <xdr:col>3</xdr:col>
      <xdr:colOff>514350</xdr:colOff>
      <xdr:row>89</xdr:row>
      <xdr:rowOff>476250</xdr:rowOff>
    </xdr:to>
    <xdr:pic>
      <xdr:nvPicPr>
        <xdr:cNvPr id="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27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</xdr:row>
      <xdr:rowOff>279400</xdr:rowOff>
    </xdr:from>
    <xdr:to>
      <xdr:col>10</xdr:col>
      <xdr:colOff>196850</xdr:colOff>
      <xdr:row>89</xdr:row>
      <xdr:rowOff>498475</xdr:rowOff>
    </xdr:to>
    <xdr:pic>
      <xdr:nvPicPr>
        <xdr:cNvPr id="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</xdr:row>
      <xdr:rowOff>279400</xdr:rowOff>
    </xdr:from>
    <xdr:to>
      <xdr:col>3</xdr:col>
      <xdr:colOff>196850</xdr:colOff>
      <xdr:row>89</xdr:row>
      <xdr:rowOff>498475</xdr:rowOff>
    </xdr:to>
    <xdr:pic>
      <xdr:nvPicPr>
        <xdr:cNvPr id="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297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724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8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72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89</xdr:row>
      <xdr:rowOff>228600</xdr:rowOff>
    </xdr:from>
    <xdr:to>
      <xdr:col>10</xdr:col>
      <xdr:colOff>260350</xdr:colOff>
      <xdr:row>89</xdr:row>
      <xdr:rowOff>447675</xdr:rowOff>
    </xdr:to>
    <xdr:pic>
      <xdr:nvPicPr>
        <xdr:cNvPr id="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724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89</xdr:row>
      <xdr:rowOff>231775</xdr:rowOff>
    </xdr:from>
    <xdr:to>
      <xdr:col>10</xdr:col>
      <xdr:colOff>539750</xdr:colOff>
      <xdr:row>89</xdr:row>
      <xdr:rowOff>450850</xdr:rowOff>
    </xdr:to>
    <xdr:pic>
      <xdr:nvPicPr>
        <xdr:cNvPr id="8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72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724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8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72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724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8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72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89</xdr:row>
      <xdr:rowOff>228600</xdr:rowOff>
    </xdr:from>
    <xdr:to>
      <xdr:col>10</xdr:col>
      <xdr:colOff>260350</xdr:colOff>
      <xdr:row>89</xdr:row>
      <xdr:rowOff>447675</xdr:rowOff>
    </xdr:to>
    <xdr:pic>
      <xdr:nvPicPr>
        <xdr:cNvPr id="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724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89</xdr:row>
      <xdr:rowOff>231775</xdr:rowOff>
    </xdr:from>
    <xdr:to>
      <xdr:col>10</xdr:col>
      <xdr:colOff>539750</xdr:colOff>
      <xdr:row>89</xdr:row>
      <xdr:rowOff>450850</xdr:rowOff>
    </xdr:to>
    <xdr:pic>
      <xdr:nvPicPr>
        <xdr:cNvPr id="8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72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6724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672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89</xdr:row>
      <xdr:rowOff>228600</xdr:rowOff>
    </xdr:from>
    <xdr:to>
      <xdr:col>10</xdr:col>
      <xdr:colOff>260350</xdr:colOff>
      <xdr:row>89</xdr:row>
      <xdr:rowOff>447675</xdr:rowOff>
    </xdr:to>
    <xdr:pic>
      <xdr:nvPicPr>
        <xdr:cNvPr id="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6724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89</xdr:row>
      <xdr:rowOff>231775</xdr:rowOff>
    </xdr:from>
    <xdr:to>
      <xdr:col>10</xdr:col>
      <xdr:colOff>539750</xdr:colOff>
      <xdr:row>89</xdr:row>
      <xdr:rowOff>450850</xdr:rowOff>
    </xdr:to>
    <xdr:pic>
      <xdr:nvPicPr>
        <xdr:cNvPr id="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6724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8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9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</xdr:row>
      <xdr:rowOff>257175</xdr:rowOff>
    </xdr:from>
    <xdr:to>
      <xdr:col>10</xdr:col>
      <xdr:colOff>514350</xdr:colOff>
      <xdr:row>94</xdr:row>
      <xdr:rowOff>476250</xdr:rowOff>
    </xdr:to>
    <xdr:pic>
      <xdr:nvPicPr>
        <xdr:cNvPr id="8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19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8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9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9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9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</xdr:row>
      <xdr:rowOff>257175</xdr:rowOff>
    </xdr:from>
    <xdr:to>
      <xdr:col>10</xdr:col>
      <xdr:colOff>514350</xdr:colOff>
      <xdr:row>94</xdr:row>
      <xdr:rowOff>476250</xdr:rowOff>
    </xdr:to>
    <xdr:pic>
      <xdr:nvPicPr>
        <xdr:cNvPr id="9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19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</xdr:row>
      <xdr:rowOff>257175</xdr:rowOff>
    </xdr:from>
    <xdr:to>
      <xdr:col>3</xdr:col>
      <xdr:colOff>514350</xdr:colOff>
      <xdr:row>94</xdr:row>
      <xdr:rowOff>476250</xdr:rowOff>
    </xdr:to>
    <xdr:pic>
      <xdr:nvPicPr>
        <xdr:cNvPr id="9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9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</xdr:row>
      <xdr:rowOff>279400</xdr:rowOff>
    </xdr:from>
    <xdr:to>
      <xdr:col>10</xdr:col>
      <xdr:colOff>196850</xdr:colOff>
      <xdr:row>94</xdr:row>
      <xdr:rowOff>498475</xdr:rowOff>
    </xdr:to>
    <xdr:pic>
      <xdr:nvPicPr>
        <xdr:cNvPr id="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</xdr:row>
      <xdr:rowOff>279400</xdr:rowOff>
    </xdr:from>
    <xdr:to>
      <xdr:col>3</xdr:col>
      <xdr:colOff>196850</xdr:colOff>
      <xdr:row>94</xdr:row>
      <xdr:rowOff>498475</xdr:rowOff>
    </xdr:to>
    <xdr:pic>
      <xdr:nvPicPr>
        <xdr:cNvPr id="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0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94</xdr:row>
      <xdr:rowOff>228600</xdr:rowOff>
    </xdr:from>
    <xdr:to>
      <xdr:col>3</xdr:col>
      <xdr:colOff>260350</xdr:colOff>
      <xdr:row>94</xdr:row>
      <xdr:rowOff>447675</xdr:rowOff>
    </xdr:to>
    <xdr:pic>
      <xdr:nvPicPr>
        <xdr:cNvPr id="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19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94</xdr:row>
      <xdr:rowOff>231775</xdr:rowOff>
    </xdr:from>
    <xdr:to>
      <xdr:col>3</xdr:col>
      <xdr:colOff>539750</xdr:colOff>
      <xdr:row>94</xdr:row>
      <xdr:rowOff>450850</xdr:rowOff>
    </xdr:to>
    <xdr:pic>
      <xdr:nvPicPr>
        <xdr:cNvPr id="9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19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94</xdr:row>
      <xdr:rowOff>228600</xdr:rowOff>
    </xdr:from>
    <xdr:to>
      <xdr:col>10</xdr:col>
      <xdr:colOff>260350</xdr:colOff>
      <xdr:row>94</xdr:row>
      <xdr:rowOff>447675</xdr:rowOff>
    </xdr:to>
    <xdr:pic>
      <xdr:nvPicPr>
        <xdr:cNvPr id="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19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94</xdr:row>
      <xdr:rowOff>231775</xdr:rowOff>
    </xdr:from>
    <xdr:to>
      <xdr:col>10</xdr:col>
      <xdr:colOff>539750</xdr:colOff>
      <xdr:row>94</xdr:row>
      <xdr:rowOff>450850</xdr:rowOff>
    </xdr:to>
    <xdr:pic>
      <xdr:nvPicPr>
        <xdr:cNvPr id="9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19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94</xdr:row>
      <xdr:rowOff>228600</xdr:rowOff>
    </xdr:from>
    <xdr:to>
      <xdr:col>3</xdr:col>
      <xdr:colOff>260350</xdr:colOff>
      <xdr:row>94</xdr:row>
      <xdr:rowOff>447675</xdr:rowOff>
    </xdr:to>
    <xdr:pic>
      <xdr:nvPicPr>
        <xdr:cNvPr id="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19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94</xdr:row>
      <xdr:rowOff>231775</xdr:rowOff>
    </xdr:from>
    <xdr:to>
      <xdr:col>3</xdr:col>
      <xdr:colOff>539750</xdr:colOff>
      <xdr:row>94</xdr:row>
      <xdr:rowOff>450850</xdr:rowOff>
    </xdr:to>
    <xdr:pic>
      <xdr:nvPicPr>
        <xdr:cNvPr id="9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19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94</xdr:row>
      <xdr:rowOff>228600</xdr:rowOff>
    </xdr:from>
    <xdr:to>
      <xdr:col>3</xdr:col>
      <xdr:colOff>260350</xdr:colOff>
      <xdr:row>94</xdr:row>
      <xdr:rowOff>447675</xdr:rowOff>
    </xdr:to>
    <xdr:pic>
      <xdr:nvPicPr>
        <xdr:cNvPr id="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19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94</xdr:row>
      <xdr:rowOff>231775</xdr:rowOff>
    </xdr:from>
    <xdr:to>
      <xdr:col>3</xdr:col>
      <xdr:colOff>539750</xdr:colOff>
      <xdr:row>94</xdr:row>
      <xdr:rowOff>450850</xdr:rowOff>
    </xdr:to>
    <xdr:pic>
      <xdr:nvPicPr>
        <xdr:cNvPr id="9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19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94</xdr:row>
      <xdr:rowOff>228600</xdr:rowOff>
    </xdr:from>
    <xdr:to>
      <xdr:col>10</xdr:col>
      <xdr:colOff>260350</xdr:colOff>
      <xdr:row>94</xdr:row>
      <xdr:rowOff>447675</xdr:rowOff>
    </xdr:to>
    <xdr:pic>
      <xdr:nvPicPr>
        <xdr:cNvPr id="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19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94</xdr:row>
      <xdr:rowOff>231775</xdr:rowOff>
    </xdr:from>
    <xdr:to>
      <xdr:col>10</xdr:col>
      <xdr:colOff>539750</xdr:colOff>
      <xdr:row>94</xdr:row>
      <xdr:rowOff>450850</xdr:rowOff>
    </xdr:to>
    <xdr:pic>
      <xdr:nvPicPr>
        <xdr:cNvPr id="9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19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94</xdr:row>
      <xdr:rowOff>228600</xdr:rowOff>
    </xdr:from>
    <xdr:to>
      <xdr:col>3</xdr:col>
      <xdr:colOff>260350</xdr:colOff>
      <xdr:row>94</xdr:row>
      <xdr:rowOff>447675</xdr:rowOff>
    </xdr:to>
    <xdr:pic>
      <xdr:nvPicPr>
        <xdr:cNvPr id="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19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94</xdr:row>
      <xdr:rowOff>231775</xdr:rowOff>
    </xdr:from>
    <xdr:to>
      <xdr:col>3</xdr:col>
      <xdr:colOff>539750</xdr:colOff>
      <xdr:row>94</xdr:row>
      <xdr:rowOff>450850</xdr:rowOff>
    </xdr:to>
    <xdr:pic>
      <xdr:nvPicPr>
        <xdr:cNvPr id="9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19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94</xdr:row>
      <xdr:rowOff>228600</xdr:rowOff>
    </xdr:from>
    <xdr:to>
      <xdr:col>10</xdr:col>
      <xdr:colOff>260350</xdr:colOff>
      <xdr:row>94</xdr:row>
      <xdr:rowOff>447675</xdr:rowOff>
    </xdr:to>
    <xdr:pic>
      <xdr:nvPicPr>
        <xdr:cNvPr id="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19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94</xdr:row>
      <xdr:rowOff>231775</xdr:rowOff>
    </xdr:from>
    <xdr:to>
      <xdr:col>10</xdr:col>
      <xdr:colOff>539750</xdr:colOff>
      <xdr:row>94</xdr:row>
      <xdr:rowOff>450850</xdr:rowOff>
    </xdr:to>
    <xdr:pic>
      <xdr:nvPicPr>
        <xdr:cNvPr id="9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19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</xdr:row>
      <xdr:rowOff>257175</xdr:rowOff>
    </xdr:from>
    <xdr:to>
      <xdr:col>10</xdr:col>
      <xdr:colOff>514350</xdr:colOff>
      <xdr:row>99</xdr:row>
      <xdr:rowOff>476250</xdr:rowOff>
    </xdr:to>
    <xdr:pic>
      <xdr:nvPicPr>
        <xdr:cNvPr id="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</xdr:row>
      <xdr:rowOff>257175</xdr:rowOff>
    </xdr:from>
    <xdr:to>
      <xdr:col>10</xdr:col>
      <xdr:colOff>514350</xdr:colOff>
      <xdr:row>99</xdr:row>
      <xdr:rowOff>476250</xdr:rowOff>
    </xdr:to>
    <xdr:pic>
      <xdr:nvPicPr>
        <xdr:cNvPr id="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</xdr:row>
      <xdr:rowOff>257175</xdr:rowOff>
    </xdr:from>
    <xdr:to>
      <xdr:col>3</xdr:col>
      <xdr:colOff>514350</xdr:colOff>
      <xdr:row>99</xdr:row>
      <xdr:rowOff>476250</xdr:rowOff>
    </xdr:to>
    <xdr:pic>
      <xdr:nvPicPr>
        <xdr:cNvPr id="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29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</xdr:row>
      <xdr:rowOff>279400</xdr:rowOff>
    </xdr:from>
    <xdr:to>
      <xdr:col>10</xdr:col>
      <xdr:colOff>196850</xdr:colOff>
      <xdr:row>99</xdr:row>
      <xdr:rowOff>498475</xdr:rowOff>
    </xdr:to>
    <xdr:pic>
      <xdr:nvPicPr>
        <xdr:cNvPr id="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</xdr:row>
      <xdr:rowOff>279400</xdr:rowOff>
    </xdr:from>
    <xdr:to>
      <xdr:col>3</xdr:col>
      <xdr:colOff>196850</xdr:colOff>
      <xdr:row>99</xdr:row>
      <xdr:rowOff>498475</xdr:rowOff>
    </xdr:to>
    <xdr:pic>
      <xdr:nvPicPr>
        <xdr:cNvPr id="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31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52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526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52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526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52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526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52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526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52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526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52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526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526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526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286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</xdr:row>
      <xdr:rowOff>257175</xdr:rowOff>
    </xdr:from>
    <xdr:to>
      <xdr:col>10</xdr:col>
      <xdr:colOff>514350</xdr:colOff>
      <xdr:row>104</xdr:row>
      <xdr:rowOff>476250</xdr:rowOff>
    </xdr:to>
    <xdr:pic>
      <xdr:nvPicPr>
        <xdr:cNvPr id="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9286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286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1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1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1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286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1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</xdr:row>
      <xdr:rowOff>257175</xdr:rowOff>
    </xdr:from>
    <xdr:to>
      <xdr:col>10</xdr:col>
      <xdr:colOff>514350</xdr:colOff>
      <xdr:row>104</xdr:row>
      <xdr:rowOff>476250</xdr:rowOff>
    </xdr:to>
    <xdr:pic>
      <xdr:nvPicPr>
        <xdr:cNvPr id="1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9286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</xdr:row>
      <xdr:rowOff>257175</xdr:rowOff>
    </xdr:from>
    <xdr:to>
      <xdr:col>3</xdr:col>
      <xdr:colOff>514350</xdr:colOff>
      <xdr:row>104</xdr:row>
      <xdr:rowOff>476250</xdr:rowOff>
    </xdr:to>
    <xdr:pic>
      <xdr:nvPicPr>
        <xdr:cNvPr id="1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286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1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</xdr:row>
      <xdr:rowOff>279400</xdr:rowOff>
    </xdr:from>
    <xdr:to>
      <xdr:col>10</xdr:col>
      <xdr:colOff>196850</xdr:colOff>
      <xdr:row>104</xdr:row>
      <xdr:rowOff>498475</xdr:rowOff>
    </xdr:to>
    <xdr:pic>
      <xdr:nvPicPr>
        <xdr:cNvPr id="1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</xdr:row>
      <xdr:rowOff>279400</xdr:rowOff>
    </xdr:from>
    <xdr:to>
      <xdr:col>3</xdr:col>
      <xdr:colOff>196850</xdr:colOff>
      <xdr:row>104</xdr:row>
      <xdr:rowOff>498475</xdr:rowOff>
    </xdr:to>
    <xdr:pic>
      <xdr:nvPicPr>
        <xdr:cNvPr id="1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308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104</xdr:row>
      <xdr:rowOff>228600</xdr:rowOff>
    </xdr:from>
    <xdr:to>
      <xdr:col>3</xdr:col>
      <xdr:colOff>260350</xdr:colOff>
      <xdr:row>104</xdr:row>
      <xdr:rowOff>447675</xdr:rowOff>
    </xdr:to>
    <xdr:pic>
      <xdr:nvPicPr>
        <xdr:cNvPr id="1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9257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104</xdr:row>
      <xdr:rowOff>231775</xdr:rowOff>
    </xdr:from>
    <xdr:to>
      <xdr:col>3</xdr:col>
      <xdr:colOff>539750</xdr:colOff>
      <xdr:row>104</xdr:row>
      <xdr:rowOff>450850</xdr:rowOff>
    </xdr:to>
    <xdr:pic>
      <xdr:nvPicPr>
        <xdr:cNvPr id="10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926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104</xdr:row>
      <xdr:rowOff>228600</xdr:rowOff>
    </xdr:from>
    <xdr:to>
      <xdr:col>10</xdr:col>
      <xdr:colOff>260350</xdr:colOff>
      <xdr:row>104</xdr:row>
      <xdr:rowOff>447675</xdr:rowOff>
    </xdr:to>
    <xdr:pic>
      <xdr:nvPicPr>
        <xdr:cNvPr id="1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9257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104</xdr:row>
      <xdr:rowOff>231775</xdr:rowOff>
    </xdr:from>
    <xdr:to>
      <xdr:col>10</xdr:col>
      <xdr:colOff>539750</xdr:colOff>
      <xdr:row>104</xdr:row>
      <xdr:rowOff>450850</xdr:rowOff>
    </xdr:to>
    <xdr:pic>
      <xdr:nvPicPr>
        <xdr:cNvPr id="10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926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104</xdr:row>
      <xdr:rowOff>228600</xdr:rowOff>
    </xdr:from>
    <xdr:to>
      <xdr:col>3</xdr:col>
      <xdr:colOff>260350</xdr:colOff>
      <xdr:row>104</xdr:row>
      <xdr:rowOff>447675</xdr:rowOff>
    </xdr:to>
    <xdr:pic>
      <xdr:nvPicPr>
        <xdr:cNvPr id="1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9257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104</xdr:row>
      <xdr:rowOff>231775</xdr:rowOff>
    </xdr:from>
    <xdr:to>
      <xdr:col>3</xdr:col>
      <xdr:colOff>539750</xdr:colOff>
      <xdr:row>104</xdr:row>
      <xdr:rowOff>450850</xdr:rowOff>
    </xdr:to>
    <xdr:pic>
      <xdr:nvPicPr>
        <xdr:cNvPr id="10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926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104</xdr:row>
      <xdr:rowOff>228600</xdr:rowOff>
    </xdr:from>
    <xdr:to>
      <xdr:col>3</xdr:col>
      <xdr:colOff>260350</xdr:colOff>
      <xdr:row>104</xdr:row>
      <xdr:rowOff>447675</xdr:rowOff>
    </xdr:to>
    <xdr:pic>
      <xdr:nvPicPr>
        <xdr:cNvPr id="1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9257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104</xdr:row>
      <xdr:rowOff>231775</xdr:rowOff>
    </xdr:from>
    <xdr:to>
      <xdr:col>3</xdr:col>
      <xdr:colOff>539750</xdr:colOff>
      <xdr:row>104</xdr:row>
      <xdr:rowOff>450850</xdr:rowOff>
    </xdr:to>
    <xdr:pic>
      <xdr:nvPicPr>
        <xdr:cNvPr id="10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926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104</xdr:row>
      <xdr:rowOff>228600</xdr:rowOff>
    </xdr:from>
    <xdr:to>
      <xdr:col>10</xdr:col>
      <xdr:colOff>260350</xdr:colOff>
      <xdr:row>104</xdr:row>
      <xdr:rowOff>447675</xdr:rowOff>
    </xdr:to>
    <xdr:pic>
      <xdr:nvPicPr>
        <xdr:cNvPr id="1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9257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104</xdr:row>
      <xdr:rowOff>231775</xdr:rowOff>
    </xdr:from>
    <xdr:to>
      <xdr:col>10</xdr:col>
      <xdr:colOff>539750</xdr:colOff>
      <xdr:row>104</xdr:row>
      <xdr:rowOff>450850</xdr:rowOff>
    </xdr:to>
    <xdr:pic>
      <xdr:nvPicPr>
        <xdr:cNvPr id="10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926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104</xdr:row>
      <xdr:rowOff>228600</xdr:rowOff>
    </xdr:from>
    <xdr:to>
      <xdr:col>3</xdr:col>
      <xdr:colOff>260350</xdr:colOff>
      <xdr:row>104</xdr:row>
      <xdr:rowOff>447675</xdr:rowOff>
    </xdr:to>
    <xdr:pic>
      <xdr:nvPicPr>
        <xdr:cNvPr id="1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9257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104</xdr:row>
      <xdr:rowOff>231775</xdr:rowOff>
    </xdr:from>
    <xdr:to>
      <xdr:col>3</xdr:col>
      <xdr:colOff>539750</xdr:colOff>
      <xdr:row>104</xdr:row>
      <xdr:rowOff>450850</xdr:rowOff>
    </xdr:to>
    <xdr:pic>
      <xdr:nvPicPr>
        <xdr:cNvPr id="10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926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104</xdr:row>
      <xdr:rowOff>228600</xdr:rowOff>
    </xdr:from>
    <xdr:to>
      <xdr:col>10</xdr:col>
      <xdr:colOff>260350</xdr:colOff>
      <xdr:row>104</xdr:row>
      <xdr:rowOff>447675</xdr:rowOff>
    </xdr:to>
    <xdr:pic>
      <xdr:nvPicPr>
        <xdr:cNvPr id="1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9257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104</xdr:row>
      <xdr:rowOff>231775</xdr:rowOff>
    </xdr:from>
    <xdr:to>
      <xdr:col>10</xdr:col>
      <xdr:colOff>539750</xdr:colOff>
      <xdr:row>104</xdr:row>
      <xdr:rowOff>450850</xdr:rowOff>
    </xdr:to>
    <xdr:pic>
      <xdr:nvPicPr>
        <xdr:cNvPr id="10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926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10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</xdr:row>
      <xdr:rowOff>257175</xdr:rowOff>
    </xdr:from>
    <xdr:to>
      <xdr:col>10</xdr:col>
      <xdr:colOff>514350</xdr:colOff>
      <xdr:row>109</xdr:row>
      <xdr:rowOff>476250</xdr:rowOff>
    </xdr:to>
    <xdr:pic>
      <xdr:nvPicPr>
        <xdr:cNvPr id="10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10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1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</xdr:row>
      <xdr:rowOff>257175</xdr:rowOff>
    </xdr:from>
    <xdr:to>
      <xdr:col>10</xdr:col>
      <xdr:colOff>514350</xdr:colOff>
      <xdr:row>109</xdr:row>
      <xdr:rowOff>476250</xdr:rowOff>
    </xdr:to>
    <xdr:pic>
      <xdr:nvPicPr>
        <xdr:cNvPr id="1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1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10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</xdr:row>
      <xdr:rowOff>257175</xdr:rowOff>
    </xdr:from>
    <xdr:to>
      <xdr:col>10</xdr:col>
      <xdr:colOff>514350</xdr:colOff>
      <xdr:row>109</xdr:row>
      <xdr:rowOff>476250</xdr:rowOff>
    </xdr:to>
    <xdr:pic>
      <xdr:nvPicPr>
        <xdr:cNvPr id="10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</xdr:row>
      <xdr:rowOff>257175</xdr:rowOff>
    </xdr:from>
    <xdr:to>
      <xdr:col>3</xdr:col>
      <xdr:colOff>514350</xdr:colOff>
      <xdr:row>109</xdr:row>
      <xdr:rowOff>476250</xdr:rowOff>
    </xdr:to>
    <xdr:pic>
      <xdr:nvPicPr>
        <xdr:cNvPr id="10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67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</xdr:row>
      <xdr:rowOff>279400</xdr:rowOff>
    </xdr:from>
    <xdr:to>
      <xdr:col>10</xdr:col>
      <xdr:colOff>196850</xdr:colOff>
      <xdr:row>109</xdr:row>
      <xdr:rowOff>498475</xdr:rowOff>
    </xdr:to>
    <xdr:pic>
      <xdr:nvPicPr>
        <xdr:cNvPr id="1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</xdr:row>
      <xdr:rowOff>279400</xdr:rowOff>
    </xdr:from>
    <xdr:to>
      <xdr:col>3</xdr:col>
      <xdr:colOff>196850</xdr:colOff>
      <xdr:row>109</xdr:row>
      <xdr:rowOff>498475</xdr:rowOff>
    </xdr:to>
    <xdr:pic>
      <xdr:nvPicPr>
        <xdr:cNvPr id="1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69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264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26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8264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0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826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264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26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264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26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8264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0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826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1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264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10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26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1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82648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10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82651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</xdr:row>
      <xdr:rowOff>257175</xdr:rowOff>
    </xdr:from>
    <xdr:to>
      <xdr:col>3</xdr:col>
      <xdr:colOff>514350</xdr:colOff>
      <xdr:row>117</xdr:row>
      <xdr:rowOff>476250</xdr:rowOff>
    </xdr:to>
    <xdr:pic>
      <xdr:nvPicPr>
        <xdr:cNvPr id="10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78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</xdr:row>
      <xdr:rowOff>257175</xdr:rowOff>
    </xdr:from>
    <xdr:to>
      <xdr:col>10</xdr:col>
      <xdr:colOff>514350</xdr:colOff>
      <xdr:row>117</xdr:row>
      <xdr:rowOff>476250</xdr:rowOff>
    </xdr:to>
    <xdr:pic>
      <xdr:nvPicPr>
        <xdr:cNvPr id="10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878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</xdr:row>
      <xdr:rowOff>257175</xdr:rowOff>
    </xdr:from>
    <xdr:to>
      <xdr:col>3</xdr:col>
      <xdr:colOff>514350</xdr:colOff>
      <xdr:row>117</xdr:row>
      <xdr:rowOff>476250</xdr:rowOff>
    </xdr:to>
    <xdr:pic>
      <xdr:nvPicPr>
        <xdr:cNvPr id="10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78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</xdr:row>
      <xdr:rowOff>257175</xdr:rowOff>
    </xdr:from>
    <xdr:to>
      <xdr:col>3</xdr:col>
      <xdr:colOff>514350</xdr:colOff>
      <xdr:row>117</xdr:row>
      <xdr:rowOff>476250</xdr:rowOff>
    </xdr:to>
    <xdr:pic>
      <xdr:nvPicPr>
        <xdr:cNvPr id="1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78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</xdr:row>
      <xdr:rowOff>257175</xdr:rowOff>
    </xdr:from>
    <xdr:to>
      <xdr:col>10</xdr:col>
      <xdr:colOff>514350</xdr:colOff>
      <xdr:row>117</xdr:row>
      <xdr:rowOff>476250</xdr:rowOff>
    </xdr:to>
    <xdr:pic>
      <xdr:nvPicPr>
        <xdr:cNvPr id="1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878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</xdr:row>
      <xdr:rowOff>257175</xdr:rowOff>
    </xdr:from>
    <xdr:to>
      <xdr:col>3</xdr:col>
      <xdr:colOff>514350</xdr:colOff>
      <xdr:row>117</xdr:row>
      <xdr:rowOff>476250</xdr:rowOff>
    </xdr:to>
    <xdr:pic>
      <xdr:nvPicPr>
        <xdr:cNvPr id="1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78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</xdr:row>
      <xdr:rowOff>279400</xdr:rowOff>
    </xdr:from>
    <xdr:to>
      <xdr:col>10</xdr:col>
      <xdr:colOff>196850</xdr:colOff>
      <xdr:row>117</xdr:row>
      <xdr:rowOff>498475</xdr:rowOff>
    </xdr:to>
    <xdr:pic>
      <xdr:nvPicPr>
        <xdr:cNvPr id="1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</xdr:row>
      <xdr:rowOff>279400</xdr:rowOff>
    </xdr:from>
    <xdr:to>
      <xdr:col>3</xdr:col>
      <xdr:colOff>196850</xdr:colOff>
      <xdr:row>117</xdr:row>
      <xdr:rowOff>498475</xdr:rowOff>
    </xdr:to>
    <xdr:pic>
      <xdr:nvPicPr>
        <xdr:cNvPr id="1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0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117</xdr:row>
      <xdr:rowOff>228600</xdr:rowOff>
    </xdr:from>
    <xdr:to>
      <xdr:col>3</xdr:col>
      <xdr:colOff>260350</xdr:colOff>
      <xdr:row>117</xdr:row>
      <xdr:rowOff>447675</xdr:rowOff>
    </xdr:to>
    <xdr:pic>
      <xdr:nvPicPr>
        <xdr:cNvPr id="1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875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117</xdr:row>
      <xdr:rowOff>231775</xdr:rowOff>
    </xdr:from>
    <xdr:to>
      <xdr:col>3</xdr:col>
      <xdr:colOff>539750</xdr:colOff>
      <xdr:row>117</xdr:row>
      <xdr:rowOff>450850</xdr:rowOff>
    </xdr:to>
    <xdr:pic>
      <xdr:nvPicPr>
        <xdr:cNvPr id="1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875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117</xdr:row>
      <xdr:rowOff>228600</xdr:rowOff>
    </xdr:from>
    <xdr:to>
      <xdr:col>10</xdr:col>
      <xdr:colOff>260350</xdr:colOff>
      <xdr:row>117</xdr:row>
      <xdr:rowOff>447675</xdr:rowOff>
    </xdr:to>
    <xdr:pic>
      <xdr:nvPicPr>
        <xdr:cNvPr id="1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8875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117</xdr:row>
      <xdr:rowOff>231775</xdr:rowOff>
    </xdr:from>
    <xdr:to>
      <xdr:col>10</xdr:col>
      <xdr:colOff>539750</xdr:colOff>
      <xdr:row>117</xdr:row>
      <xdr:rowOff>450850</xdr:rowOff>
    </xdr:to>
    <xdr:pic>
      <xdr:nvPicPr>
        <xdr:cNvPr id="1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8875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117</xdr:row>
      <xdr:rowOff>228600</xdr:rowOff>
    </xdr:from>
    <xdr:to>
      <xdr:col>3</xdr:col>
      <xdr:colOff>260350</xdr:colOff>
      <xdr:row>117</xdr:row>
      <xdr:rowOff>447675</xdr:rowOff>
    </xdr:to>
    <xdr:pic>
      <xdr:nvPicPr>
        <xdr:cNvPr id="1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875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117</xdr:row>
      <xdr:rowOff>231775</xdr:rowOff>
    </xdr:from>
    <xdr:to>
      <xdr:col>3</xdr:col>
      <xdr:colOff>539750</xdr:colOff>
      <xdr:row>117</xdr:row>
      <xdr:rowOff>450850</xdr:rowOff>
    </xdr:to>
    <xdr:pic>
      <xdr:nvPicPr>
        <xdr:cNvPr id="1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875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117</xdr:row>
      <xdr:rowOff>228600</xdr:rowOff>
    </xdr:from>
    <xdr:to>
      <xdr:col>3</xdr:col>
      <xdr:colOff>260350</xdr:colOff>
      <xdr:row>117</xdr:row>
      <xdr:rowOff>447675</xdr:rowOff>
    </xdr:to>
    <xdr:pic>
      <xdr:nvPicPr>
        <xdr:cNvPr id="1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875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117</xdr:row>
      <xdr:rowOff>231775</xdr:rowOff>
    </xdr:from>
    <xdr:to>
      <xdr:col>3</xdr:col>
      <xdr:colOff>539750</xdr:colOff>
      <xdr:row>117</xdr:row>
      <xdr:rowOff>450850</xdr:rowOff>
    </xdr:to>
    <xdr:pic>
      <xdr:nvPicPr>
        <xdr:cNvPr id="1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875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117</xdr:row>
      <xdr:rowOff>228600</xdr:rowOff>
    </xdr:from>
    <xdr:to>
      <xdr:col>10</xdr:col>
      <xdr:colOff>260350</xdr:colOff>
      <xdr:row>117</xdr:row>
      <xdr:rowOff>447675</xdr:rowOff>
    </xdr:to>
    <xdr:pic>
      <xdr:nvPicPr>
        <xdr:cNvPr id="1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8875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117</xdr:row>
      <xdr:rowOff>231775</xdr:rowOff>
    </xdr:from>
    <xdr:to>
      <xdr:col>10</xdr:col>
      <xdr:colOff>539750</xdr:colOff>
      <xdr:row>117</xdr:row>
      <xdr:rowOff>450850</xdr:rowOff>
    </xdr:to>
    <xdr:pic>
      <xdr:nvPicPr>
        <xdr:cNvPr id="1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8875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117</xdr:row>
      <xdr:rowOff>228600</xdr:rowOff>
    </xdr:from>
    <xdr:to>
      <xdr:col>3</xdr:col>
      <xdr:colOff>260350</xdr:colOff>
      <xdr:row>117</xdr:row>
      <xdr:rowOff>447675</xdr:rowOff>
    </xdr:to>
    <xdr:pic>
      <xdr:nvPicPr>
        <xdr:cNvPr id="1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8875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117</xdr:row>
      <xdr:rowOff>231775</xdr:rowOff>
    </xdr:from>
    <xdr:to>
      <xdr:col>3</xdr:col>
      <xdr:colOff>539750</xdr:colOff>
      <xdr:row>117</xdr:row>
      <xdr:rowOff>450850</xdr:rowOff>
    </xdr:to>
    <xdr:pic>
      <xdr:nvPicPr>
        <xdr:cNvPr id="1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8875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117</xdr:row>
      <xdr:rowOff>228600</xdr:rowOff>
    </xdr:from>
    <xdr:to>
      <xdr:col>10</xdr:col>
      <xdr:colOff>260350</xdr:colOff>
      <xdr:row>117</xdr:row>
      <xdr:rowOff>447675</xdr:rowOff>
    </xdr:to>
    <xdr:pic>
      <xdr:nvPicPr>
        <xdr:cNvPr id="1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88753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117</xdr:row>
      <xdr:rowOff>231775</xdr:rowOff>
    </xdr:from>
    <xdr:to>
      <xdr:col>10</xdr:col>
      <xdr:colOff>539750</xdr:colOff>
      <xdr:row>117</xdr:row>
      <xdr:rowOff>450850</xdr:rowOff>
    </xdr:to>
    <xdr:pic>
      <xdr:nvPicPr>
        <xdr:cNvPr id="1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88757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</xdr:row>
      <xdr:rowOff>257175</xdr:rowOff>
    </xdr:from>
    <xdr:to>
      <xdr:col>10</xdr:col>
      <xdr:colOff>514350</xdr:colOff>
      <xdr:row>122</xdr:row>
      <xdr:rowOff>476250</xdr:rowOff>
    </xdr:to>
    <xdr:pic>
      <xdr:nvPicPr>
        <xdr:cNvPr id="1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</xdr:row>
      <xdr:rowOff>257175</xdr:rowOff>
    </xdr:from>
    <xdr:to>
      <xdr:col>10</xdr:col>
      <xdr:colOff>514350</xdr:colOff>
      <xdr:row>122</xdr:row>
      <xdr:rowOff>476250</xdr:rowOff>
    </xdr:to>
    <xdr:pic>
      <xdr:nvPicPr>
        <xdr:cNvPr id="1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</xdr:row>
      <xdr:rowOff>257175</xdr:rowOff>
    </xdr:from>
    <xdr:to>
      <xdr:col>10</xdr:col>
      <xdr:colOff>514350</xdr:colOff>
      <xdr:row>122</xdr:row>
      <xdr:rowOff>476250</xdr:rowOff>
    </xdr:to>
    <xdr:pic>
      <xdr:nvPicPr>
        <xdr:cNvPr id="1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</xdr:row>
      <xdr:rowOff>257175</xdr:rowOff>
    </xdr:from>
    <xdr:to>
      <xdr:col>3</xdr:col>
      <xdr:colOff>514350</xdr:colOff>
      <xdr:row>122</xdr:row>
      <xdr:rowOff>476250</xdr:rowOff>
    </xdr:to>
    <xdr:pic>
      <xdr:nvPicPr>
        <xdr:cNvPr id="1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79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</xdr:row>
      <xdr:rowOff>279400</xdr:rowOff>
    </xdr:from>
    <xdr:to>
      <xdr:col>10</xdr:col>
      <xdr:colOff>196850</xdr:colOff>
      <xdr:row>122</xdr:row>
      <xdr:rowOff>498475</xdr:rowOff>
    </xdr:to>
    <xdr:pic>
      <xdr:nvPicPr>
        <xdr:cNvPr id="1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</xdr:row>
      <xdr:rowOff>279400</xdr:rowOff>
    </xdr:from>
    <xdr:to>
      <xdr:col>3</xdr:col>
      <xdr:colOff>196850</xdr:colOff>
      <xdr:row>122</xdr:row>
      <xdr:rowOff>498475</xdr:rowOff>
    </xdr:to>
    <xdr:pic>
      <xdr:nvPicPr>
        <xdr:cNvPr id="1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81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122</xdr:row>
      <xdr:rowOff>228600</xdr:rowOff>
    </xdr:from>
    <xdr:to>
      <xdr:col>3</xdr:col>
      <xdr:colOff>260350</xdr:colOff>
      <xdr:row>122</xdr:row>
      <xdr:rowOff>447675</xdr:rowOff>
    </xdr:to>
    <xdr:pic>
      <xdr:nvPicPr>
        <xdr:cNvPr id="1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1763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122</xdr:row>
      <xdr:rowOff>231775</xdr:rowOff>
    </xdr:from>
    <xdr:to>
      <xdr:col>3</xdr:col>
      <xdr:colOff>539750</xdr:colOff>
      <xdr:row>122</xdr:row>
      <xdr:rowOff>450850</xdr:rowOff>
    </xdr:to>
    <xdr:pic>
      <xdr:nvPicPr>
        <xdr:cNvPr id="1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176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122</xdr:row>
      <xdr:rowOff>228600</xdr:rowOff>
    </xdr:from>
    <xdr:to>
      <xdr:col>10</xdr:col>
      <xdr:colOff>260350</xdr:colOff>
      <xdr:row>122</xdr:row>
      <xdr:rowOff>447675</xdr:rowOff>
    </xdr:to>
    <xdr:pic>
      <xdr:nvPicPr>
        <xdr:cNvPr id="1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1763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122</xdr:row>
      <xdr:rowOff>231775</xdr:rowOff>
    </xdr:from>
    <xdr:to>
      <xdr:col>10</xdr:col>
      <xdr:colOff>539750</xdr:colOff>
      <xdr:row>122</xdr:row>
      <xdr:rowOff>450850</xdr:rowOff>
    </xdr:to>
    <xdr:pic>
      <xdr:nvPicPr>
        <xdr:cNvPr id="1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176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122</xdr:row>
      <xdr:rowOff>228600</xdr:rowOff>
    </xdr:from>
    <xdr:to>
      <xdr:col>3</xdr:col>
      <xdr:colOff>260350</xdr:colOff>
      <xdr:row>122</xdr:row>
      <xdr:rowOff>447675</xdr:rowOff>
    </xdr:to>
    <xdr:pic>
      <xdr:nvPicPr>
        <xdr:cNvPr id="1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1763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122</xdr:row>
      <xdr:rowOff>231775</xdr:rowOff>
    </xdr:from>
    <xdr:to>
      <xdr:col>3</xdr:col>
      <xdr:colOff>539750</xdr:colOff>
      <xdr:row>122</xdr:row>
      <xdr:rowOff>450850</xdr:rowOff>
    </xdr:to>
    <xdr:pic>
      <xdr:nvPicPr>
        <xdr:cNvPr id="1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176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122</xdr:row>
      <xdr:rowOff>228600</xdr:rowOff>
    </xdr:from>
    <xdr:to>
      <xdr:col>3</xdr:col>
      <xdr:colOff>260350</xdr:colOff>
      <xdr:row>122</xdr:row>
      <xdr:rowOff>447675</xdr:rowOff>
    </xdr:to>
    <xdr:pic>
      <xdr:nvPicPr>
        <xdr:cNvPr id="1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1763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122</xdr:row>
      <xdr:rowOff>231775</xdr:rowOff>
    </xdr:from>
    <xdr:to>
      <xdr:col>3</xdr:col>
      <xdr:colOff>539750</xdr:colOff>
      <xdr:row>122</xdr:row>
      <xdr:rowOff>450850</xdr:rowOff>
    </xdr:to>
    <xdr:pic>
      <xdr:nvPicPr>
        <xdr:cNvPr id="1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176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122</xdr:row>
      <xdr:rowOff>228600</xdr:rowOff>
    </xdr:from>
    <xdr:to>
      <xdr:col>10</xdr:col>
      <xdr:colOff>260350</xdr:colOff>
      <xdr:row>122</xdr:row>
      <xdr:rowOff>447675</xdr:rowOff>
    </xdr:to>
    <xdr:pic>
      <xdr:nvPicPr>
        <xdr:cNvPr id="1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1763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122</xdr:row>
      <xdr:rowOff>231775</xdr:rowOff>
    </xdr:from>
    <xdr:to>
      <xdr:col>10</xdr:col>
      <xdr:colOff>539750</xdr:colOff>
      <xdr:row>122</xdr:row>
      <xdr:rowOff>450850</xdr:rowOff>
    </xdr:to>
    <xdr:pic>
      <xdr:nvPicPr>
        <xdr:cNvPr id="1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176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122</xdr:row>
      <xdr:rowOff>228600</xdr:rowOff>
    </xdr:from>
    <xdr:to>
      <xdr:col>3</xdr:col>
      <xdr:colOff>260350</xdr:colOff>
      <xdr:row>122</xdr:row>
      <xdr:rowOff>447675</xdr:rowOff>
    </xdr:to>
    <xdr:pic>
      <xdr:nvPicPr>
        <xdr:cNvPr id="1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1763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122</xdr:row>
      <xdr:rowOff>231775</xdr:rowOff>
    </xdr:from>
    <xdr:to>
      <xdr:col>3</xdr:col>
      <xdr:colOff>539750</xdr:colOff>
      <xdr:row>122</xdr:row>
      <xdr:rowOff>450850</xdr:rowOff>
    </xdr:to>
    <xdr:pic>
      <xdr:nvPicPr>
        <xdr:cNvPr id="1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176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122</xdr:row>
      <xdr:rowOff>228600</xdr:rowOff>
    </xdr:from>
    <xdr:to>
      <xdr:col>10</xdr:col>
      <xdr:colOff>260350</xdr:colOff>
      <xdr:row>122</xdr:row>
      <xdr:rowOff>447675</xdr:rowOff>
    </xdr:to>
    <xdr:pic>
      <xdr:nvPicPr>
        <xdr:cNvPr id="1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1763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122</xdr:row>
      <xdr:rowOff>231775</xdr:rowOff>
    </xdr:from>
    <xdr:to>
      <xdr:col>10</xdr:col>
      <xdr:colOff>539750</xdr:colOff>
      <xdr:row>122</xdr:row>
      <xdr:rowOff>450850</xdr:rowOff>
    </xdr:to>
    <xdr:pic>
      <xdr:nvPicPr>
        <xdr:cNvPr id="1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176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</xdr:row>
      <xdr:rowOff>257175</xdr:rowOff>
    </xdr:from>
    <xdr:to>
      <xdr:col>10</xdr:col>
      <xdr:colOff>514350</xdr:colOff>
      <xdr:row>127</xdr:row>
      <xdr:rowOff>476250</xdr:rowOff>
    </xdr:to>
    <xdr:pic>
      <xdr:nvPicPr>
        <xdr:cNvPr id="1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</xdr:row>
      <xdr:rowOff>257175</xdr:rowOff>
    </xdr:from>
    <xdr:to>
      <xdr:col>10</xdr:col>
      <xdr:colOff>514350</xdr:colOff>
      <xdr:row>127</xdr:row>
      <xdr:rowOff>476250</xdr:rowOff>
    </xdr:to>
    <xdr:pic>
      <xdr:nvPicPr>
        <xdr:cNvPr id="1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</xdr:row>
      <xdr:rowOff>257175</xdr:rowOff>
    </xdr:from>
    <xdr:to>
      <xdr:col>3</xdr:col>
      <xdr:colOff>514350</xdr:colOff>
      <xdr:row>127</xdr:row>
      <xdr:rowOff>476250</xdr:rowOff>
    </xdr:to>
    <xdr:pic>
      <xdr:nvPicPr>
        <xdr:cNvPr id="1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897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</xdr:row>
      <xdr:rowOff>279400</xdr:rowOff>
    </xdr:from>
    <xdr:to>
      <xdr:col>10</xdr:col>
      <xdr:colOff>196850</xdr:colOff>
      <xdr:row>127</xdr:row>
      <xdr:rowOff>498475</xdr:rowOff>
    </xdr:to>
    <xdr:pic>
      <xdr:nvPicPr>
        <xdr:cNvPr id="1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</xdr:row>
      <xdr:rowOff>279400</xdr:rowOff>
    </xdr:from>
    <xdr:to>
      <xdr:col>3</xdr:col>
      <xdr:colOff>196850</xdr:colOff>
      <xdr:row>127</xdr:row>
      <xdr:rowOff>498475</xdr:rowOff>
    </xdr:to>
    <xdr:pic>
      <xdr:nvPicPr>
        <xdr:cNvPr id="1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91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1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58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1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587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1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58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1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587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1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58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1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587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1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58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1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587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1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58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1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587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1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58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1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587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1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586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1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587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</xdr:row>
      <xdr:rowOff>257175</xdr:rowOff>
    </xdr:from>
    <xdr:to>
      <xdr:col>10</xdr:col>
      <xdr:colOff>514350</xdr:colOff>
      <xdr:row>132</xdr:row>
      <xdr:rowOff>476250</xdr:rowOff>
    </xdr:to>
    <xdr:pic>
      <xdr:nvPicPr>
        <xdr:cNvPr id="1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</xdr:row>
      <xdr:rowOff>257175</xdr:rowOff>
    </xdr:from>
    <xdr:to>
      <xdr:col>10</xdr:col>
      <xdr:colOff>514350</xdr:colOff>
      <xdr:row>132</xdr:row>
      <xdr:rowOff>476250</xdr:rowOff>
    </xdr:to>
    <xdr:pic>
      <xdr:nvPicPr>
        <xdr:cNvPr id="1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</xdr:row>
      <xdr:rowOff>257175</xdr:rowOff>
    </xdr:from>
    <xdr:to>
      <xdr:col>10</xdr:col>
      <xdr:colOff>514350</xdr:colOff>
      <xdr:row>132</xdr:row>
      <xdr:rowOff>476250</xdr:rowOff>
    </xdr:to>
    <xdr:pic>
      <xdr:nvPicPr>
        <xdr:cNvPr id="1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</xdr:row>
      <xdr:rowOff>257175</xdr:rowOff>
    </xdr:from>
    <xdr:to>
      <xdr:col>10</xdr:col>
      <xdr:colOff>514350</xdr:colOff>
      <xdr:row>132</xdr:row>
      <xdr:rowOff>476250</xdr:rowOff>
    </xdr:to>
    <xdr:pic>
      <xdr:nvPicPr>
        <xdr:cNvPr id="1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</xdr:row>
      <xdr:rowOff>257175</xdr:rowOff>
    </xdr:from>
    <xdr:to>
      <xdr:col>3</xdr:col>
      <xdr:colOff>514350</xdr:colOff>
      <xdr:row>132</xdr:row>
      <xdr:rowOff>476250</xdr:rowOff>
    </xdr:to>
    <xdr:pic>
      <xdr:nvPicPr>
        <xdr:cNvPr id="1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76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</xdr:row>
      <xdr:rowOff>279400</xdr:rowOff>
    </xdr:from>
    <xdr:to>
      <xdr:col>10</xdr:col>
      <xdr:colOff>196850</xdr:colOff>
      <xdr:row>132</xdr:row>
      <xdr:rowOff>498475</xdr:rowOff>
    </xdr:to>
    <xdr:pic>
      <xdr:nvPicPr>
        <xdr:cNvPr id="1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</xdr:row>
      <xdr:rowOff>279400</xdr:rowOff>
    </xdr:from>
    <xdr:to>
      <xdr:col>3</xdr:col>
      <xdr:colOff>196850</xdr:colOff>
      <xdr:row>132</xdr:row>
      <xdr:rowOff>498475</xdr:rowOff>
    </xdr:to>
    <xdr:pic>
      <xdr:nvPicPr>
        <xdr:cNvPr id="1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78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132</xdr:row>
      <xdr:rowOff>228600</xdr:rowOff>
    </xdr:from>
    <xdr:to>
      <xdr:col>3</xdr:col>
      <xdr:colOff>260350</xdr:colOff>
      <xdr:row>132</xdr:row>
      <xdr:rowOff>447675</xdr:rowOff>
    </xdr:to>
    <xdr:pic>
      <xdr:nvPicPr>
        <xdr:cNvPr id="1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873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132</xdr:row>
      <xdr:rowOff>231775</xdr:rowOff>
    </xdr:from>
    <xdr:to>
      <xdr:col>3</xdr:col>
      <xdr:colOff>539750</xdr:colOff>
      <xdr:row>132</xdr:row>
      <xdr:rowOff>450850</xdr:rowOff>
    </xdr:to>
    <xdr:pic>
      <xdr:nvPicPr>
        <xdr:cNvPr id="1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87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132</xdr:row>
      <xdr:rowOff>228600</xdr:rowOff>
    </xdr:from>
    <xdr:to>
      <xdr:col>10</xdr:col>
      <xdr:colOff>260350</xdr:colOff>
      <xdr:row>132</xdr:row>
      <xdr:rowOff>447675</xdr:rowOff>
    </xdr:to>
    <xdr:pic>
      <xdr:nvPicPr>
        <xdr:cNvPr id="1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873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132</xdr:row>
      <xdr:rowOff>231775</xdr:rowOff>
    </xdr:from>
    <xdr:to>
      <xdr:col>10</xdr:col>
      <xdr:colOff>539750</xdr:colOff>
      <xdr:row>132</xdr:row>
      <xdr:rowOff>450850</xdr:rowOff>
    </xdr:to>
    <xdr:pic>
      <xdr:nvPicPr>
        <xdr:cNvPr id="1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87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132</xdr:row>
      <xdr:rowOff>228600</xdr:rowOff>
    </xdr:from>
    <xdr:to>
      <xdr:col>3</xdr:col>
      <xdr:colOff>260350</xdr:colOff>
      <xdr:row>132</xdr:row>
      <xdr:rowOff>447675</xdr:rowOff>
    </xdr:to>
    <xdr:pic>
      <xdr:nvPicPr>
        <xdr:cNvPr id="1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873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132</xdr:row>
      <xdr:rowOff>231775</xdr:rowOff>
    </xdr:from>
    <xdr:to>
      <xdr:col>3</xdr:col>
      <xdr:colOff>539750</xdr:colOff>
      <xdr:row>132</xdr:row>
      <xdr:rowOff>450850</xdr:rowOff>
    </xdr:to>
    <xdr:pic>
      <xdr:nvPicPr>
        <xdr:cNvPr id="1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87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132</xdr:row>
      <xdr:rowOff>228600</xdr:rowOff>
    </xdr:from>
    <xdr:to>
      <xdr:col>3</xdr:col>
      <xdr:colOff>260350</xdr:colOff>
      <xdr:row>132</xdr:row>
      <xdr:rowOff>447675</xdr:rowOff>
    </xdr:to>
    <xdr:pic>
      <xdr:nvPicPr>
        <xdr:cNvPr id="1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873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132</xdr:row>
      <xdr:rowOff>231775</xdr:rowOff>
    </xdr:from>
    <xdr:to>
      <xdr:col>3</xdr:col>
      <xdr:colOff>539750</xdr:colOff>
      <xdr:row>132</xdr:row>
      <xdr:rowOff>450850</xdr:rowOff>
    </xdr:to>
    <xdr:pic>
      <xdr:nvPicPr>
        <xdr:cNvPr id="1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87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132</xdr:row>
      <xdr:rowOff>228600</xdr:rowOff>
    </xdr:from>
    <xdr:to>
      <xdr:col>10</xdr:col>
      <xdr:colOff>260350</xdr:colOff>
      <xdr:row>132</xdr:row>
      <xdr:rowOff>447675</xdr:rowOff>
    </xdr:to>
    <xdr:pic>
      <xdr:nvPicPr>
        <xdr:cNvPr id="1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873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132</xdr:row>
      <xdr:rowOff>231775</xdr:rowOff>
    </xdr:from>
    <xdr:to>
      <xdr:col>10</xdr:col>
      <xdr:colOff>539750</xdr:colOff>
      <xdr:row>132</xdr:row>
      <xdr:rowOff>450850</xdr:rowOff>
    </xdr:to>
    <xdr:pic>
      <xdr:nvPicPr>
        <xdr:cNvPr id="1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87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132</xdr:row>
      <xdr:rowOff>228600</xdr:rowOff>
    </xdr:from>
    <xdr:to>
      <xdr:col>3</xdr:col>
      <xdr:colOff>260350</xdr:colOff>
      <xdr:row>132</xdr:row>
      <xdr:rowOff>447675</xdr:rowOff>
    </xdr:to>
    <xdr:pic>
      <xdr:nvPicPr>
        <xdr:cNvPr id="1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9873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132</xdr:row>
      <xdr:rowOff>231775</xdr:rowOff>
    </xdr:from>
    <xdr:to>
      <xdr:col>3</xdr:col>
      <xdr:colOff>539750</xdr:colOff>
      <xdr:row>132</xdr:row>
      <xdr:rowOff>450850</xdr:rowOff>
    </xdr:to>
    <xdr:pic>
      <xdr:nvPicPr>
        <xdr:cNvPr id="1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987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132</xdr:row>
      <xdr:rowOff>228600</xdr:rowOff>
    </xdr:from>
    <xdr:to>
      <xdr:col>10</xdr:col>
      <xdr:colOff>260350</xdr:colOff>
      <xdr:row>132</xdr:row>
      <xdr:rowOff>447675</xdr:rowOff>
    </xdr:to>
    <xdr:pic>
      <xdr:nvPicPr>
        <xdr:cNvPr id="1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98736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132</xdr:row>
      <xdr:rowOff>231775</xdr:rowOff>
    </xdr:from>
    <xdr:to>
      <xdr:col>10</xdr:col>
      <xdr:colOff>539750</xdr:colOff>
      <xdr:row>132</xdr:row>
      <xdr:rowOff>450850</xdr:rowOff>
    </xdr:to>
    <xdr:pic>
      <xdr:nvPicPr>
        <xdr:cNvPr id="1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98739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87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</xdr:row>
      <xdr:rowOff>257175</xdr:rowOff>
    </xdr:from>
    <xdr:to>
      <xdr:col>10</xdr:col>
      <xdr:colOff>514350</xdr:colOff>
      <xdr:row>137</xdr:row>
      <xdr:rowOff>476250</xdr:rowOff>
    </xdr:to>
    <xdr:pic>
      <xdr:nvPicPr>
        <xdr:cNvPr id="1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287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87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87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</xdr:row>
      <xdr:rowOff>257175</xdr:rowOff>
    </xdr:from>
    <xdr:to>
      <xdr:col>10</xdr:col>
      <xdr:colOff>514350</xdr:colOff>
      <xdr:row>137</xdr:row>
      <xdr:rowOff>476250</xdr:rowOff>
    </xdr:to>
    <xdr:pic>
      <xdr:nvPicPr>
        <xdr:cNvPr id="1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287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</xdr:row>
      <xdr:rowOff>257175</xdr:rowOff>
    </xdr:from>
    <xdr:to>
      <xdr:col>3</xdr:col>
      <xdr:colOff>514350</xdr:colOff>
      <xdr:row>137</xdr:row>
      <xdr:rowOff>476250</xdr:rowOff>
    </xdr:to>
    <xdr:pic>
      <xdr:nvPicPr>
        <xdr:cNvPr id="1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87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</xdr:row>
      <xdr:rowOff>279400</xdr:rowOff>
    </xdr:from>
    <xdr:to>
      <xdr:col>10</xdr:col>
      <xdr:colOff>196850</xdr:colOff>
      <xdr:row>137</xdr:row>
      <xdr:rowOff>498475</xdr:rowOff>
    </xdr:to>
    <xdr:pic>
      <xdr:nvPicPr>
        <xdr:cNvPr id="1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</xdr:row>
      <xdr:rowOff>279400</xdr:rowOff>
    </xdr:from>
    <xdr:to>
      <xdr:col>3</xdr:col>
      <xdr:colOff>196850</xdr:colOff>
      <xdr:row>137</xdr:row>
      <xdr:rowOff>498475</xdr:rowOff>
    </xdr:to>
    <xdr:pic>
      <xdr:nvPicPr>
        <xdr:cNvPr id="1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0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28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285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028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0285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28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285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28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285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028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0285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137</xdr:row>
      <xdr:rowOff>228600</xdr:rowOff>
    </xdr:from>
    <xdr:to>
      <xdr:col>3</xdr:col>
      <xdr:colOff>260350</xdr:colOff>
      <xdr:row>137</xdr:row>
      <xdr:rowOff>447675</xdr:rowOff>
    </xdr:to>
    <xdr:pic>
      <xdr:nvPicPr>
        <xdr:cNvPr id="1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28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137</xdr:row>
      <xdr:rowOff>231775</xdr:rowOff>
    </xdr:from>
    <xdr:to>
      <xdr:col>3</xdr:col>
      <xdr:colOff>539750</xdr:colOff>
      <xdr:row>137</xdr:row>
      <xdr:rowOff>450850</xdr:rowOff>
    </xdr:to>
    <xdr:pic>
      <xdr:nvPicPr>
        <xdr:cNvPr id="1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285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137</xdr:row>
      <xdr:rowOff>228600</xdr:rowOff>
    </xdr:from>
    <xdr:to>
      <xdr:col>10</xdr:col>
      <xdr:colOff>260350</xdr:colOff>
      <xdr:row>137</xdr:row>
      <xdr:rowOff>447675</xdr:rowOff>
    </xdr:to>
    <xdr:pic>
      <xdr:nvPicPr>
        <xdr:cNvPr id="1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0285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137</xdr:row>
      <xdr:rowOff>231775</xdr:rowOff>
    </xdr:from>
    <xdr:to>
      <xdr:col>10</xdr:col>
      <xdr:colOff>539750</xdr:colOff>
      <xdr:row>137</xdr:row>
      <xdr:rowOff>450850</xdr:rowOff>
    </xdr:to>
    <xdr:pic>
      <xdr:nvPicPr>
        <xdr:cNvPr id="1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0285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</xdr:row>
      <xdr:rowOff>257175</xdr:rowOff>
    </xdr:from>
    <xdr:to>
      <xdr:col>10</xdr:col>
      <xdr:colOff>514350</xdr:colOff>
      <xdr:row>141</xdr:row>
      <xdr:rowOff>476250</xdr:rowOff>
    </xdr:to>
    <xdr:pic>
      <xdr:nvPicPr>
        <xdr:cNvPr id="1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</xdr:row>
      <xdr:rowOff>257175</xdr:rowOff>
    </xdr:from>
    <xdr:to>
      <xdr:col>10</xdr:col>
      <xdr:colOff>514350</xdr:colOff>
      <xdr:row>141</xdr:row>
      <xdr:rowOff>476250</xdr:rowOff>
    </xdr:to>
    <xdr:pic>
      <xdr:nvPicPr>
        <xdr:cNvPr id="1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</xdr:row>
      <xdr:rowOff>257175</xdr:rowOff>
    </xdr:from>
    <xdr:to>
      <xdr:col>10</xdr:col>
      <xdr:colOff>514350</xdr:colOff>
      <xdr:row>141</xdr:row>
      <xdr:rowOff>476250</xdr:rowOff>
    </xdr:to>
    <xdr:pic>
      <xdr:nvPicPr>
        <xdr:cNvPr id="1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4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</xdr:row>
      <xdr:rowOff>257175</xdr:rowOff>
    </xdr:from>
    <xdr:to>
      <xdr:col>10</xdr:col>
      <xdr:colOff>514350</xdr:colOff>
      <xdr:row>141</xdr:row>
      <xdr:rowOff>476250</xdr:rowOff>
    </xdr:to>
    <xdr:pic>
      <xdr:nvPicPr>
        <xdr:cNvPr id="1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</xdr:row>
      <xdr:rowOff>257175</xdr:rowOff>
    </xdr:from>
    <xdr:to>
      <xdr:col>10</xdr:col>
      <xdr:colOff>514350</xdr:colOff>
      <xdr:row>141</xdr:row>
      <xdr:rowOff>476250</xdr:rowOff>
    </xdr:to>
    <xdr:pic>
      <xdr:nvPicPr>
        <xdr:cNvPr id="1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</xdr:row>
      <xdr:rowOff>257175</xdr:rowOff>
    </xdr:from>
    <xdr:to>
      <xdr:col>3</xdr:col>
      <xdr:colOff>514350</xdr:colOff>
      <xdr:row>141</xdr:row>
      <xdr:rowOff>476250</xdr:rowOff>
    </xdr:to>
    <xdr:pic>
      <xdr:nvPicPr>
        <xdr:cNvPr id="1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10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</xdr:row>
      <xdr:rowOff>279400</xdr:rowOff>
    </xdr:from>
    <xdr:to>
      <xdr:col>10</xdr:col>
      <xdr:colOff>196850</xdr:colOff>
      <xdr:row>141</xdr:row>
      <xdr:rowOff>498475</xdr:rowOff>
    </xdr:to>
    <xdr:pic>
      <xdr:nvPicPr>
        <xdr:cNvPr id="1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</xdr:row>
      <xdr:rowOff>279400</xdr:rowOff>
    </xdr:from>
    <xdr:to>
      <xdr:col>3</xdr:col>
      <xdr:colOff>196850</xdr:colOff>
      <xdr:row>141</xdr:row>
      <xdr:rowOff>498475</xdr:rowOff>
    </xdr:to>
    <xdr:pic>
      <xdr:nvPicPr>
        <xdr:cNvPr id="1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13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141</xdr:row>
      <xdr:rowOff>228600</xdr:rowOff>
    </xdr:from>
    <xdr:to>
      <xdr:col>3</xdr:col>
      <xdr:colOff>260350</xdr:colOff>
      <xdr:row>141</xdr:row>
      <xdr:rowOff>447675</xdr:rowOff>
    </xdr:to>
    <xdr:pic>
      <xdr:nvPicPr>
        <xdr:cNvPr id="1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607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141</xdr:row>
      <xdr:rowOff>231775</xdr:rowOff>
    </xdr:from>
    <xdr:to>
      <xdr:col>3</xdr:col>
      <xdr:colOff>539750</xdr:colOff>
      <xdr:row>141</xdr:row>
      <xdr:rowOff>450850</xdr:rowOff>
    </xdr:to>
    <xdr:pic>
      <xdr:nvPicPr>
        <xdr:cNvPr id="1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60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141</xdr:row>
      <xdr:rowOff>228600</xdr:rowOff>
    </xdr:from>
    <xdr:to>
      <xdr:col>10</xdr:col>
      <xdr:colOff>260350</xdr:colOff>
      <xdr:row>141</xdr:row>
      <xdr:rowOff>447675</xdr:rowOff>
    </xdr:to>
    <xdr:pic>
      <xdr:nvPicPr>
        <xdr:cNvPr id="1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0607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141</xdr:row>
      <xdr:rowOff>231775</xdr:rowOff>
    </xdr:from>
    <xdr:to>
      <xdr:col>10</xdr:col>
      <xdr:colOff>539750</xdr:colOff>
      <xdr:row>141</xdr:row>
      <xdr:rowOff>450850</xdr:rowOff>
    </xdr:to>
    <xdr:pic>
      <xdr:nvPicPr>
        <xdr:cNvPr id="1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060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141</xdr:row>
      <xdr:rowOff>228600</xdr:rowOff>
    </xdr:from>
    <xdr:to>
      <xdr:col>3</xdr:col>
      <xdr:colOff>260350</xdr:colOff>
      <xdr:row>141</xdr:row>
      <xdr:rowOff>447675</xdr:rowOff>
    </xdr:to>
    <xdr:pic>
      <xdr:nvPicPr>
        <xdr:cNvPr id="1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607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141</xdr:row>
      <xdr:rowOff>231775</xdr:rowOff>
    </xdr:from>
    <xdr:to>
      <xdr:col>3</xdr:col>
      <xdr:colOff>539750</xdr:colOff>
      <xdr:row>141</xdr:row>
      <xdr:rowOff>450850</xdr:rowOff>
    </xdr:to>
    <xdr:pic>
      <xdr:nvPicPr>
        <xdr:cNvPr id="1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60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141</xdr:row>
      <xdr:rowOff>228600</xdr:rowOff>
    </xdr:from>
    <xdr:to>
      <xdr:col>3</xdr:col>
      <xdr:colOff>260350</xdr:colOff>
      <xdr:row>141</xdr:row>
      <xdr:rowOff>447675</xdr:rowOff>
    </xdr:to>
    <xdr:pic>
      <xdr:nvPicPr>
        <xdr:cNvPr id="1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607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141</xdr:row>
      <xdr:rowOff>231775</xdr:rowOff>
    </xdr:from>
    <xdr:to>
      <xdr:col>3</xdr:col>
      <xdr:colOff>539750</xdr:colOff>
      <xdr:row>141</xdr:row>
      <xdr:rowOff>450850</xdr:rowOff>
    </xdr:to>
    <xdr:pic>
      <xdr:nvPicPr>
        <xdr:cNvPr id="1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60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141</xdr:row>
      <xdr:rowOff>228600</xdr:rowOff>
    </xdr:from>
    <xdr:to>
      <xdr:col>10</xdr:col>
      <xdr:colOff>260350</xdr:colOff>
      <xdr:row>141</xdr:row>
      <xdr:rowOff>447675</xdr:rowOff>
    </xdr:to>
    <xdr:pic>
      <xdr:nvPicPr>
        <xdr:cNvPr id="1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0607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141</xdr:row>
      <xdr:rowOff>231775</xdr:rowOff>
    </xdr:from>
    <xdr:to>
      <xdr:col>10</xdr:col>
      <xdr:colOff>539750</xdr:colOff>
      <xdr:row>141</xdr:row>
      <xdr:rowOff>450850</xdr:rowOff>
    </xdr:to>
    <xdr:pic>
      <xdr:nvPicPr>
        <xdr:cNvPr id="1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060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141</xdr:row>
      <xdr:rowOff>228600</xdr:rowOff>
    </xdr:from>
    <xdr:to>
      <xdr:col>3</xdr:col>
      <xdr:colOff>260350</xdr:colOff>
      <xdr:row>141</xdr:row>
      <xdr:rowOff>447675</xdr:rowOff>
    </xdr:to>
    <xdr:pic>
      <xdr:nvPicPr>
        <xdr:cNvPr id="1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0607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141</xdr:row>
      <xdr:rowOff>231775</xdr:rowOff>
    </xdr:from>
    <xdr:to>
      <xdr:col>3</xdr:col>
      <xdr:colOff>539750</xdr:colOff>
      <xdr:row>141</xdr:row>
      <xdr:rowOff>450850</xdr:rowOff>
    </xdr:to>
    <xdr:pic>
      <xdr:nvPicPr>
        <xdr:cNvPr id="1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060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141</xdr:row>
      <xdr:rowOff>228600</xdr:rowOff>
    </xdr:from>
    <xdr:to>
      <xdr:col>10</xdr:col>
      <xdr:colOff>260350</xdr:colOff>
      <xdr:row>141</xdr:row>
      <xdr:rowOff>447675</xdr:rowOff>
    </xdr:to>
    <xdr:pic>
      <xdr:nvPicPr>
        <xdr:cNvPr id="1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0607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141</xdr:row>
      <xdr:rowOff>231775</xdr:rowOff>
    </xdr:from>
    <xdr:to>
      <xdr:col>10</xdr:col>
      <xdr:colOff>539750</xdr:colOff>
      <xdr:row>141</xdr:row>
      <xdr:rowOff>450850</xdr:rowOff>
    </xdr:to>
    <xdr:pic>
      <xdr:nvPicPr>
        <xdr:cNvPr id="1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0608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17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1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017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17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17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146</xdr:row>
      <xdr:rowOff>257175</xdr:rowOff>
    </xdr:from>
    <xdr:to>
      <xdr:col>10</xdr:col>
      <xdr:colOff>514350</xdr:colOff>
      <xdr:row>146</xdr:row>
      <xdr:rowOff>476250</xdr:rowOff>
    </xdr:to>
    <xdr:pic>
      <xdr:nvPicPr>
        <xdr:cNvPr id="1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017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146</xdr:row>
      <xdr:rowOff>257175</xdr:rowOff>
    </xdr:from>
    <xdr:to>
      <xdr:col>3</xdr:col>
      <xdr:colOff>514350</xdr:colOff>
      <xdr:row>146</xdr:row>
      <xdr:rowOff>476250</xdr:rowOff>
    </xdr:to>
    <xdr:pic>
      <xdr:nvPicPr>
        <xdr:cNvPr id="1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17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146</xdr:row>
      <xdr:rowOff>279400</xdr:rowOff>
    </xdr:from>
    <xdr:to>
      <xdr:col>10</xdr:col>
      <xdr:colOff>196850</xdr:colOff>
      <xdr:row>146</xdr:row>
      <xdr:rowOff>498475</xdr:rowOff>
    </xdr:to>
    <xdr:pic>
      <xdr:nvPicPr>
        <xdr:cNvPr id="1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146</xdr:row>
      <xdr:rowOff>279400</xdr:rowOff>
    </xdr:from>
    <xdr:to>
      <xdr:col>3</xdr:col>
      <xdr:colOff>196850</xdr:colOff>
      <xdr:row>146</xdr:row>
      <xdr:rowOff>498475</xdr:rowOff>
    </xdr:to>
    <xdr:pic>
      <xdr:nvPicPr>
        <xdr:cNvPr id="1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19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014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015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014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015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014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5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015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014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015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014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015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146</xdr:row>
      <xdr:rowOff>228600</xdr:rowOff>
    </xdr:from>
    <xdr:to>
      <xdr:col>3</xdr:col>
      <xdr:colOff>260350</xdr:colOff>
      <xdr:row>146</xdr:row>
      <xdr:rowOff>447675</xdr:rowOff>
    </xdr:to>
    <xdr:pic>
      <xdr:nvPicPr>
        <xdr:cNvPr id="1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014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146</xdr:row>
      <xdr:rowOff>231775</xdr:rowOff>
    </xdr:from>
    <xdr:to>
      <xdr:col>3</xdr:col>
      <xdr:colOff>539750</xdr:colOff>
      <xdr:row>146</xdr:row>
      <xdr:rowOff>450850</xdr:rowOff>
    </xdr:to>
    <xdr:pic>
      <xdr:nvPicPr>
        <xdr:cNvPr id="1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015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146</xdr:row>
      <xdr:rowOff>228600</xdr:rowOff>
    </xdr:from>
    <xdr:to>
      <xdr:col>10</xdr:col>
      <xdr:colOff>260350</xdr:colOff>
      <xdr:row>146</xdr:row>
      <xdr:rowOff>447675</xdr:rowOff>
    </xdr:to>
    <xdr:pic>
      <xdr:nvPicPr>
        <xdr:cNvPr id="1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014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146</xdr:row>
      <xdr:rowOff>231775</xdr:rowOff>
    </xdr:from>
    <xdr:to>
      <xdr:col>10</xdr:col>
      <xdr:colOff>539750</xdr:colOff>
      <xdr:row>146</xdr:row>
      <xdr:rowOff>450850</xdr:rowOff>
    </xdr:to>
    <xdr:pic>
      <xdr:nvPicPr>
        <xdr:cNvPr id="1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015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15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15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1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1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1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150</xdr:row>
      <xdr:rowOff>257175</xdr:rowOff>
    </xdr:from>
    <xdr:to>
      <xdr:col>10</xdr:col>
      <xdr:colOff>514350</xdr:colOff>
      <xdr:row>150</xdr:row>
      <xdr:rowOff>476250</xdr:rowOff>
    </xdr:to>
    <xdr:pic>
      <xdr:nvPicPr>
        <xdr:cNvPr id="1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150</xdr:row>
      <xdr:rowOff>257175</xdr:rowOff>
    </xdr:from>
    <xdr:to>
      <xdr:col>3</xdr:col>
      <xdr:colOff>514350</xdr:colOff>
      <xdr:row>150</xdr:row>
      <xdr:rowOff>476250</xdr:rowOff>
    </xdr:to>
    <xdr:pic>
      <xdr:nvPicPr>
        <xdr:cNvPr id="1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309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150</xdr:row>
      <xdr:rowOff>279400</xdr:rowOff>
    </xdr:from>
    <xdr:to>
      <xdr:col>10</xdr:col>
      <xdr:colOff>196850</xdr:colOff>
      <xdr:row>150</xdr:row>
      <xdr:rowOff>498475</xdr:rowOff>
    </xdr:to>
    <xdr:pic>
      <xdr:nvPicPr>
        <xdr:cNvPr id="1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150</xdr:row>
      <xdr:rowOff>279400</xdr:rowOff>
    </xdr:from>
    <xdr:to>
      <xdr:col>3</xdr:col>
      <xdr:colOff>196850</xdr:colOff>
      <xdr:row>150</xdr:row>
      <xdr:rowOff>498475</xdr:rowOff>
    </xdr:to>
    <xdr:pic>
      <xdr:nvPicPr>
        <xdr:cNvPr id="1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3122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150</xdr:row>
      <xdr:rowOff>228600</xdr:rowOff>
    </xdr:from>
    <xdr:to>
      <xdr:col>3</xdr:col>
      <xdr:colOff>260350</xdr:colOff>
      <xdr:row>150</xdr:row>
      <xdr:rowOff>447675</xdr:rowOff>
    </xdr:to>
    <xdr:pic>
      <xdr:nvPicPr>
        <xdr:cNvPr id="1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3071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150</xdr:row>
      <xdr:rowOff>231775</xdr:rowOff>
    </xdr:from>
    <xdr:to>
      <xdr:col>3</xdr:col>
      <xdr:colOff>539750</xdr:colOff>
      <xdr:row>150</xdr:row>
      <xdr:rowOff>450850</xdr:rowOff>
    </xdr:to>
    <xdr:pic>
      <xdr:nvPicPr>
        <xdr:cNvPr id="1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307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150</xdr:row>
      <xdr:rowOff>228600</xdr:rowOff>
    </xdr:from>
    <xdr:to>
      <xdr:col>10</xdr:col>
      <xdr:colOff>260350</xdr:colOff>
      <xdr:row>150</xdr:row>
      <xdr:rowOff>447675</xdr:rowOff>
    </xdr:to>
    <xdr:pic>
      <xdr:nvPicPr>
        <xdr:cNvPr id="1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3071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150</xdr:row>
      <xdr:rowOff>231775</xdr:rowOff>
    </xdr:from>
    <xdr:to>
      <xdr:col>10</xdr:col>
      <xdr:colOff>539750</xdr:colOff>
      <xdr:row>150</xdr:row>
      <xdr:rowOff>450850</xdr:rowOff>
    </xdr:to>
    <xdr:pic>
      <xdr:nvPicPr>
        <xdr:cNvPr id="1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307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150</xdr:row>
      <xdr:rowOff>228600</xdr:rowOff>
    </xdr:from>
    <xdr:to>
      <xdr:col>3</xdr:col>
      <xdr:colOff>260350</xdr:colOff>
      <xdr:row>150</xdr:row>
      <xdr:rowOff>447675</xdr:rowOff>
    </xdr:to>
    <xdr:pic>
      <xdr:nvPicPr>
        <xdr:cNvPr id="1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3071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150</xdr:row>
      <xdr:rowOff>231775</xdr:rowOff>
    </xdr:from>
    <xdr:to>
      <xdr:col>3</xdr:col>
      <xdr:colOff>539750</xdr:colOff>
      <xdr:row>150</xdr:row>
      <xdr:rowOff>450850</xdr:rowOff>
    </xdr:to>
    <xdr:pic>
      <xdr:nvPicPr>
        <xdr:cNvPr id="1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307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150</xdr:row>
      <xdr:rowOff>228600</xdr:rowOff>
    </xdr:from>
    <xdr:to>
      <xdr:col>3</xdr:col>
      <xdr:colOff>260350</xdr:colOff>
      <xdr:row>150</xdr:row>
      <xdr:rowOff>447675</xdr:rowOff>
    </xdr:to>
    <xdr:pic>
      <xdr:nvPicPr>
        <xdr:cNvPr id="1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3071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150</xdr:row>
      <xdr:rowOff>231775</xdr:rowOff>
    </xdr:from>
    <xdr:to>
      <xdr:col>3</xdr:col>
      <xdr:colOff>539750</xdr:colOff>
      <xdr:row>150</xdr:row>
      <xdr:rowOff>450850</xdr:rowOff>
    </xdr:to>
    <xdr:pic>
      <xdr:nvPicPr>
        <xdr:cNvPr id="1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307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150</xdr:row>
      <xdr:rowOff>228600</xdr:rowOff>
    </xdr:from>
    <xdr:to>
      <xdr:col>10</xdr:col>
      <xdr:colOff>260350</xdr:colOff>
      <xdr:row>150</xdr:row>
      <xdr:rowOff>447675</xdr:rowOff>
    </xdr:to>
    <xdr:pic>
      <xdr:nvPicPr>
        <xdr:cNvPr id="1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3071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150</xdr:row>
      <xdr:rowOff>231775</xdr:rowOff>
    </xdr:from>
    <xdr:to>
      <xdr:col>10</xdr:col>
      <xdr:colOff>539750</xdr:colOff>
      <xdr:row>150</xdr:row>
      <xdr:rowOff>450850</xdr:rowOff>
    </xdr:to>
    <xdr:pic>
      <xdr:nvPicPr>
        <xdr:cNvPr id="1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307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150</xdr:row>
      <xdr:rowOff>228600</xdr:rowOff>
    </xdr:from>
    <xdr:to>
      <xdr:col>3</xdr:col>
      <xdr:colOff>260350</xdr:colOff>
      <xdr:row>150</xdr:row>
      <xdr:rowOff>447675</xdr:rowOff>
    </xdr:to>
    <xdr:pic>
      <xdr:nvPicPr>
        <xdr:cNvPr id="1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3071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150</xdr:row>
      <xdr:rowOff>231775</xdr:rowOff>
    </xdr:from>
    <xdr:to>
      <xdr:col>3</xdr:col>
      <xdr:colOff>539750</xdr:colOff>
      <xdr:row>150</xdr:row>
      <xdr:rowOff>450850</xdr:rowOff>
    </xdr:to>
    <xdr:pic>
      <xdr:nvPicPr>
        <xdr:cNvPr id="16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307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150</xdr:row>
      <xdr:rowOff>228600</xdr:rowOff>
    </xdr:from>
    <xdr:to>
      <xdr:col>10</xdr:col>
      <xdr:colOff>260350</xdr:colOff>
      <xdr:row>150</xdr:row>
      <xdr:rowOff>447675</xdr:rowOff>
    </xdr:to>
    <xdr:pic>
      <xdr:nvPicPr>
        <xdr:cNvPr id="1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3071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150</xdr:row>
      <xdr:rowOff>231775</xdr:rowOff>
    </xdr:from>
    <xdr:to>
      <xdr:col>10</xdr:col>
      <xdr:colOff>539750</xdr:colOff>
      <xdr:row>150</xdr:row>
      <xdr:rowOff>450850</xdr:rowOff>
    </xdr:to>
    <xdr:pic>
      <xdr:nvPicPr>
        <xdr:cNvPr id="1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307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155</xdr:row>
      <xdr:rowOff>257175</xdr:rowOff>
    </xdr:from>
    <xdr:to>
      <xdr:col>3</xdr:col>
      <xdr:colOff>514350</xdr:colOff>
      <xdr:row>155</xdr:row>
      <xdr:rowOff>476250</xdr:rowOff>
    </xdr:to>
    <xdr:pic>
      <xdr:nvPicPr>
        <xdr:cNvPr id="1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2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155</xdr:row>
      <xdr:rowOff>257175</xdr:rowOff>
    </xdr:from>
    <xdr:to>
      <xdr:col>10</xdr:col>
      <xdr:colOff>514350</xdr:colOff>
      <xdr:row>155</xdr:row>
      <xdr:rowOff>476250</xdr:rowOff>
    </xdr:to>
    <xdr:pic>
      <xdr:nvPicPr>
        <xdr:cNvPr id="1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72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155</xdr:row>
      <xdr:rowOff>257175</xdr:rowOff>
    </xdr:from>
    <xdr:to>
      <xdr:col>3</xdr:col>
      <xdr:colOff>514350</xdr:colOff>
      <xdr:row>155</xdr:row>
      <xdr:rowOff>476250</xdr:rowOff>
    </xdr:to>
    <xdr:pic>
      <xdr:nvPicPr>
        <xdr:cNvPr id="16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2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155</xdr:row>
      <xdr:rowOff>257175</xdr:rowOff>
    </xdr:from>
    <xdr:to>
      <xdr:col>3</xdr:col>
      <xdr:colOff>514350</xdr:colOff>
      <xdr:row>155</xdr:row>
      <xdr:rowOff>476250</xdr:rowOff>
    </xdr:to>
    <xdr:pic>
      <xdr:nvPicPr>
        <xdr:cNvPr id="1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2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155</xdr:row>
      <xdr:rowOff>257175</xdr:rowOff>
    </xdr:from>
    <xdr:to>
      <xdr:col>10</xdr:col>
      <xdr:colOff>514350</xdr:colOff>
      <xdr:row>155</xdr:row>
      <xdr:rowOff>476250</xdr:rowOff>
    </xdr:to>
    <xdr:pic>
      <xdr:nvPicPr>
        <xdr:cNvPr id="1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72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155</xdr:row>
      <xdr:rowOff>257175</xdr:rowOff>
    </xdr:from>
    <xdr:to>
      <xdr:col>3</xdr:col>
      <xdr:colOff>514350</xdr:colOff>
      <xdr:row>155</xdr:row>
      <xdr:rowOff>476250</xdr:rowOff>
    </xdr:to>
    <xdr:pic>
      <xdr:nvPicPr>
        <xdr:cNvPr id="1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721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155</xdr:row>
      <xdr:rowOff>279400</xdr:rowOff>
    </xdr:from>
    <xdr:to>
      <xdr:col>10</xdr:col>
      <xdr:colOff>196850</xdr:colOff>
      <xdr:row>155</xdr:row>
      <xdr:rowOff>498475</xdr:rowOff>
    </xdr:to>
    <xdr:pic>
      <xdr:nvPicPr>
        <xdr:cNvPr id="1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155</xdr:row>
      <xdr:rowOff>279400</xdr:rowOff>
    </xdr:from>
    <xdr:to>
      <xdr:col>3</xdr:col>
      <xdr:colOff>196850</xdr:colOff>
      <xdr:row>155</xdr:row>
      <xdr:rowOff>498475</xdr:rowOff>
    </xdr:to>
    <xdr:pic>
      <xdr:nvPicPr>
        <xdr:cNvPr id="1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723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718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1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718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1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718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1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718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718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1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718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718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1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718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1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718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1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718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1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1718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1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1718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1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1718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17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1718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159</xdr:row>
      <xdr:rowOff>257175</xdr:rowOff>
    </xdr:from>
    <xdr:to>
      <xdr:col>10</xdr:col>
      <xdr:colOff>514350</xdr:colOff>
      <xdr:row>159</xdr:row>
      <xdr:rowOff>476250</xdr:rowOff>
    </xdr:to>
    <xdr:pic>
      <xdr:nvPicPr>
        <xdr:cNvPr id="17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7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7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7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159</xdr:row>
      <xdr:rowOff>257175</xdr:rowOff>
    </xdr:from>
    <xdr:to>
      <xdr:col>10</xdr:col>
      <xdr:colOff>514350</xdr:colOff>
      <xdr:row>159</xdr:row>
      <xdr:rowOff>476250</xdr:rowOff>
    </xdr:to>
    <xdr:pic>
      <xdr:nvPicPr>
        <xdr:cNvPr id="1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159</xdr:row>
      <xdr:rowOff>257175</xdr:rowOff>
    </xdr:from>
    <xdr:to>
      <xdr:col>10</xdr:col>
      <xdr:colOff>514350</xdr:colOff>
      <xdr:row>159</xdr:row>
      <xdr:rowOff>476250</xdr:rowOff>
    </xdr:to>
    <xdr:pic>
      <xdr:nvPicPr>
        <xdr:cNvPr id="1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159</xdr:row>
      <xdr:rowOff>257175</xdr:rowOff>
    </xdr:from>
    <xdr:to>
      <xdr:col>10</xdr:col>
      <xdr:colOff>514350</xdr:colOff>
      <xdr:row>159</xdr:row>
      <xdr:rowOff>476250</xdr:rowOff>
    </xdr:to>
    <xdr:pic>
      <xdr:nvPicPr>
        <xdr:cNvPr id="1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8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159</xdr:row>
      <xdr:rowOff>257175</xdr:rowOff>
    </xdr:from>
    <xdr:to>
      <xdr:col>10</xdr:col>
      <xdr:colOff>514350</xdr:colOff>
      <xdr:row>159</xdr:row>
      <xdr:rowOff>476250</xdr:rowOff>
    </xdr:to>
    <xdr:pic>
      <xdr:nvPicPr>
        <xdr:cNvPr id="18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8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8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159</xdr:row>
      <xdr:rowOff>257175</xdr:rowOff>
    </xdr:from>
    <xdr:to>
      <xdr:col>10</xdr:col>
      <xdr:colOff>514350</xdr:colOff>
      <xdr:row>159</xdr:row>
      <xdr:rowOff>476250</xdr:rowOff>
    </xdr:to>
    <xdr:pic>
      <xdr:nvPicPr>
        <xdr:cNvPr id="1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8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159</xdr:row>
      <xdr:rowOff>257175</xdr:rowOff>
    </xdr:from>
    <xdr:to>
      <xdr:col>10</xdr:col>
      <xdr:colOff>514350</xdr:colOff>
      <xdr:row>159</xdr:row>
      <xdr:rowOff>476250</xdr:rowOff>
    </xdr:to>
    <xdr:pic>
      <xdr:nvPicPr>
        <xdr:cNvPr id="18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159</xdr:row>
      <xdr:rowOff>257175</xdr:rowOff>
    </xdr:from>
    <xdr:to>
      <xdr:col>3</xdr:col>
      <xdr:colOff>514350</xdr:colOff>
      <xdr:row>159</xdr:row>
      <xdr:rowOff>476250</xdr:rowOff>
    </xdr:to>
    <xdr:pic>
      <xdr:nvPicPr>
        <xdr:cNvPr id="18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0081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159</xdr:row>
      <xdr:rowOff>279400</xdr:rowOff>
    </xdr:from>
    <xdr:to>
      <xdr:col>10</xdr:col>
      <xdr:colOff>196850</xdr:colOff>
      <xdr:row>159</xdr:row>
      <xdr:rowOff>498475</xdr:rowOff>
    </xdr:to>
    <xdr:pic>
      <xdr:nvPicPr>
        <xdr:cNvPr id="1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159</xdr:row>
      <xdr:rowOff>279400</xdr:rowOff>
    </xdr:from>
    <xdr:to>
      <xdr:col>3</xdr:col>
      <xdr:colOff>196850</xdr:colOff>
      <xdr:row>159</xdr:row>
      <xdr:rowOff>498475</xdr:rowOff>
    </xdr:to>
    <xdr:pic>
      <xdr:nvPicPr>
        <xdr:cNvPr id="1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0103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159</xdr:row>
      <xdr:rowOff>228600</xdr:rowOff>
    </xdr:from>
    <xdr:to>
      <xdr:col>3</xdr:col>
      <xdr:colOff>260350</xdr:colOff>
      <xdr:row>159</xdr:row>
      <xdr:rowOff>447675</xdr:rowOff>
    </xdr:to>
    <xdr:pic>
      <xdr:nvPicPr>
        <xdr:cNvPr id="1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005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159</xdr:row>
      <xdr:rowOff>231775</xdr:rowOff>
    </xdr:from>
    <xdr:to>
      <xdr:col>3</xdr:col>
      <xdr:colOff>539750</xdr:colOff>
      <xdr:row>159</xdr:row>
      <xdr:rowOff>450850</xdr:rowOff>
    </xdr:to>
    <xdr:pic>
      <xdr:nvPicPr>
        <xdr:cNvPr id="1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00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159</xdr:row>
      <xdr:rowOff>228600</xdr:rowOff>
    </xdr:from>
    <xdr:to>
      <xdr:col>10</xdr:col>
      <xdr:colOff>260350</xdr:colOff>
      <xdr:row>159</xdr:row>
      <xdr:rowOff>447675</xdr:rowOff>
    </xdr:to>
    <xdr:pic>
      <xdr:nvPicPr>
        <xdr:cNvPr id="1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005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159</xdr:row>
      <xdr:rowOff>231775</xdr:rowOff>
    </xdr:from>
    <xdr:to>
      <xdr:col>10</xdr:col>
      <xdr:colOff>539750</xdr:colOff>
      <xdr:row>159</xdr:row>
      <xdr:rowOff>450850</xdr:rowOff>
    </xdr:to>
    <xdr:pic>
      <xdr:nvPicPr>
        <xdr:cNvPr id="1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00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159</xdr:row>
      <xdr:rowOff>228600</xdr:rowOff>
    </xdr:from>
    <xdr:to>
      <xdr:col>3</xdr:col>
      <xdr:colOff>260350</xdr:colOff>
      <xdr:row>159</xdr:row>
      <xdr:rowOff>447675</xdr:rowOff>
    </xdr:to>
    <xdr:pic>
      <xdr:nvPicPr>
        <xdr:cNvPr id="1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005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159</xdr:row>
      <xdr:rowOff>231775</xdr:rowOff>
    </xdr:from>
    <xdr:to>
      <xdr:col>3</xdr:col>
      <xdr:colOff>539750</xdr:colOff>
      <xdr:row>159</xdr:row>
      <xdr:rowOff>450850</xdr:rowOff>
    </xdr:to>
    <xdr:pic>
      <xdr:nvPicPr>
        <xdr:cNvPr id="18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00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159</xdr:row>
      <xdr:rowOff>228600</xdr:rowOff>
    </xdr:from>
    <xdr:to>
      <xdr:col>3</xdr:col>
      <xdr:colOff>260350</xdr:colOff>
      <xdr:row>159</xdr:row>
      <xdr:rowOff>447675</xdr:rowOff>
    </xdr:to>
    <xdr:pic>
      <xdr:nvPicPr>
        <xdr:cNvPr id="1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005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159</xdr:row>
      <xdr:rowOff>231775</xdr:rowOff>
    </xdr:from>
    <xdr:to>
      <xdr:col>3</xdr:col>
      <xdr:colOff>539750</xdr:colOff>
      <xdr:row>159</xdr:row>
      <xdr:rowOff>450850</xdr:rowOff>
    </xdr:to>
    <xdr:pic>
      <xdr:nvPicPr>
        <xdr:cNvPr id="18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00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159</xdr:row>
      <xdr:rowOff>228600</xdr:rowOff>
    </xdr:from>
    <xdr:to>
      <xdr:col>10</xdr:col>
      <xdr:colOff>260350</xdr:colOff>
      <xdr:row>159</xdr:row>
      <xdr:rowOff>447675</xdr:rowOff>
    </xdr:to>
    <xdr:pic>
      <xdr:nvPicPr>
        <xdr:cNvPr id="1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005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159</xdr:row>
      <xdr:rowOff>231775</xdr:rowOff>
    </xdr:from>
    <xdr:to>
      <xdr:col>10</xdr:col>
      <xdr:colOff>539750</xdr:colOff>
      <xdr:row>159</xdr:row>
      <xdr:rowOff>450850</xdr:rowOff>
    </xdr:to>
    <xdr:pic>
      <xdr:nvPicPr>
        <xdr:cNvPr id="18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00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159</xdr:row>
      <xdr:rowOff>228600</xdr:rowOff>
    </xdr:from>
    <xdr:to>
      <xdr:col>3</xdr:col>
      <xdr:colOff>260350</xdr:colOff>
      <xdr:row>159</xdr:row>
      <xdr:rowOff>447675</xdr:rowOff>
    </xdr:to>
    <xdr:pic>
      <xdr:nvPicPr>
        <xdr:cNvPr id="1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005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159</xdr:row>
      <xdr:rowOff>231775</xdr:rowOff>
    </xdr:from>
    <xdr:to>
      <xdr:col>3</xdr:col>
      <xdr:colOff>539750</xdr:colOff>
      <xdr:row>159</xdr:row>
      <xdr:rowOff>450850</xdr:rowOff>
    </xdr:to>
    <xdr:pic>
      <xdr:nvPicPr>
        <xdr:cNvPr id="18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00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159</xdr:row>
      <xdr:rowOff>228600</xdr:rowOff>
    </xdr:from>
    <xdr:to>
      <xdr:col>10</xdr:col>
      <xdr:colOff>260350</xdr:colOff>
      <xdr:row>159</xdr:row>
      <xdr:rowOff>447675</xdr:rowOff>
    </xdr:to>
    <xdr:pic>
      <xdr:nvPicPr>
        <xdr:cNvPr id="1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0053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159</xdr:row>
      <xdr:rowOff>231775</xdr:rowOff>
    </xdr:from>
    <xdr:to>
      <xdr:col>10</xdr:col>
      <xdr:colOff>539750</xdr:colOff>
      <xdr:row>159</xdr:row>
      <xdr:rowOff>450850</xdr:rowOff>
    </xdr:to>
    <xdr:pic>
      <xdr:nvPicPr>
        <xdr:cNvPr id="18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0056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79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8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679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79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79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167</xdr:row>
      <xdr:rowOff>257175</xdr:rowOff>
    </xdr:from>
    <xdr:to>
      <xdr:col>10</xdr:col>
      <xdr:colOff>514350</xdr:colOff>
      <xdr:row>167</xdr:row>
      <xdr:rowOff>476250</xdr:rowOff>
    </xdr:to>
    <xdr:pic>
      <xdr:nvPicPr>
        <xdr:cNvPr id="1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679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167</xdr:row>
      <xdr:rowOff>257175</xdr:rowOff>
    </xdr:from>
    <xdr:to>
      <xdr:col>3</xdr:col>
      <xdr:colOff>514350</xdr:colOff>
      <xdr:row>167</xdr:row>
      <xdr:rowOff>476250</xdr:rowOff>
    </xdr:to>
    <xdr:pic>
      <xdr:nvPicPr>
        <xdr:cNvPr id="1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6796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167</xdr:row>
      <xdr:rowOff>279400</xdr:rowOff>
    </xdr:from>
    <xdr:to>
      <xdr:col>10</xdr:col>
      <xdr:colOff>196850</xdr:colOff>
      <xdr:row>167</xdr:row>
      <xdr:rowOff>498475</xdr:rowOff>
    </xdr:to>
    <xdr:pic>
      <xdr:nvPicPr>
        <xdr:cNvPr id="1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167</xdr:row>
      <xdr:rowOff>279400</xdr:rowOff>
    </xdr:from>
    <xdr:to>
      <xdr:col>3</xdr:col>
      <xdr:colOff>196850</xdr:colOff>
      <xdr:row>167</xdr:row>
      <xdr:rowOff>498475</xdr:rowOff>
    </xdr:to>
    <xdr:pic>
      <xdr:nvPicPr>
        <xdr:cNvPr id="1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6819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167</xdr:row>
      <xdr:rowOff>228600</xdr:rowOff>
    </xdr:from>
    <xdr:to>
      <xdr:col>3</xdr:col>
      <xdr:colOff>260350</xdr:colOff>
      <xdr:row>167</xdr:row>
      <xdr:rowOff>447675</xdr:rowOff>
    </xdr:to>
    <xdr:pic>
      <xdr:nvPicPr>
        <xdr:cNvPr id="1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676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167</xdr:row>
      <xdr:rowOff>231775</xdr:rowOff>
    </xdr:from>
    <xdr:to>
      <xdr:col>3</xdr:col>
      <xdr:colOff>539750</xdr:colOff>
      <xdr:row>167</xdr:row>
      <xdr:rowOff>450850</xdr:rowOff>
    </xdr:to>
    <xdr:pic>
      <xdr:nvPicPr>
        <xdr:cNvPr id="1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677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167</xdr:row>
      <xdr:rowOff>228600</xdr:rowOff>
    </xdr:from>
    <xdr:to>
      <xdr:col>10</xdr:col>
      <xdr:colOff>260350</xdr:colOff>
      <xdr:row>167</xdr:row>
      <xdr:rowOff>447675</xdr:rowOff>
    </xdr:to>
    <xdr:pic>
      <xdr:nvPicPr>
        <xdr:cNvPr id="1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676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167</xdr:row>
      <xdr:rowOff>231775</xdr:rowOff>
    </xdr:from>
    <xdr:to>
      <xdr:col>10</xdr:col>
      <xdr:colOff>539750</xdr:colOff>
      <xdr:row>167</xdr:row>
      <xdr:rowOff>450850</xdr:rowOff>
    </xdr:to>
    <xdr:pic>
      <xdr:nvPicPr>
        <xdr:cNvPr id="1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677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167</xdr:row>
      <xdr:rowOff>228600</xdr:rowOff>
    </xdr:from>
    <xdr:to>
      <xdr:col>3</xdr:col>
      <xdr:colOff>260350</xdr:colOff>
      <xdr:row>167</xdr:row>
      <xdr:rowOff>447675</xdr:rowOff>
    </xdr:to>
    <xdr:pic>
      <xdr:nvPicPr>
        <xdr:cNvPr id="1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676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167</xdr:row>
      <xdr:rowOff>231775</xdr:rowOff>
    </xdr:from>
    <xdr:to>
      <xdr:col>3</xdr:col>
      <xdr:colOff>539750</xdr:colOff>
      <xdr:row>167</xdr:row>
      <xdr:rowOff>450850</xdr:rowOff>
    </xdr:to>
    <xdr:pic>
      <xdr:nvPicPr>
        <xdr:cNvPr id="1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677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167</xdr:row>
      <xdr:rowOff>228600</xdr:rowOff>
    </xdr:from>
    <xdr:to>
      <xdr:col>3</xdr:col>
      <xdr:colOff>260350</xdr:colOff>
      <xdr:row>167</xdr:row>
      <xdr:rowOff>447675</xdr:rowOff>
    </xdr:to>
    <xdr:pic>
      <xdr:nvPicPr>
        <xdr:cNvPr id="1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676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167</xdr:row>
      <xdr:rowOff>231775</xdr:rowOff>
    </xdr:from>
    <xdr:to>
      <xdr:col>3</xdr:col>
      <xdr:colOff>539750</xdr:colOff>
      <xdr:row>167</xdr:row>
      <xdr:rowOff>450850</xdr:rowOff>
    </xdr:to>
    <xdr:pic>
      <xdr:nvPicPr>
        <xdr:cNvPr id="1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677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167</xdr:row>
      <xdr:rowOff>228600</xdr:rowOff>
    </xdr:from>
    <xdr:to>
      <xdr:col>10</xdr:col>
      <xdr:colOff>260350</xdr:colOff>
      <xdr:row>167</xdr:row>
      <xdr:rowOff>447675</xdr:rowOff>
    </xdr:to>
    <xdr:pic>
      <xdr:nvPicPr>
        <xdr:cNvPr id="1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676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167</xdr:row>
      <xdr:rowOff>231775</xdr:rowOff>
    </xdr:from>
    <xdr:to>
      <xdr:col>10</xdr:col>
      <xdr:colOff>539750</xdr:colOff>
      <xdr:row>167</xdr:row>
      <xdr:rowOff>450850</xdr:rowOff>
    </xdr:to>
    <xdr:pic>
      <xdr:nvPicPr>
        <xdr:cNvPr id="1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677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167</xdr:row>
      <xdr:rowOff>228600</xdr:rowOff>
    </xdr:from>
    <xdr:to>
      <xdr:col>3</xdr:col>
      <xdr:colOff>260350</xdr:colOff>
      <xdr:row>167</xdr:row>
      <xdr:rowOff>447675</xdr:rowOff>
    </xdr:to>
    <xdr:pic>
      <xdr:nvPicPr>
        <xdr:cNvPr id="1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676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167</xdr:row>
      <xdr:rowOff>231775</xdr:rowOff>
    </xdr:from>
    <xdr:to>
      <xdr:col>3</xdr:col>
      <xdr:colOff>539750</xdr:colOff>
      <xdr:row>167</xdr:row>
      <xdr:rowOff>450850</xdr:rowOff>
    </xdr:to>
    <xdr:pic>
      <xdr:nvPicPr>
        <xdr:cNvPr id="1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677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167</xdr:row>
      <xdr:rowOff>228600</xdr:rowOff>
    </xdr:from>
    <xdr:to>
      <xdr:col>10</xdr:col>
      <xdr:colOff>260350</xdr:colOff>
      <xdr:row>167</xdr:row>
      <xdr:rowOff>447675</xdr:rowOff>
    </xdr:to>
    <xdr:pic>
      <xdr:nvPicPr>
        <xdr:cNvPr id="1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6768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167</xdr:row>
      <xdr:rowOff>231775</xdr:rowOff>
    </xdr:from>
    <xdr:to>
      <xdr:col>10</xdr:col>
      <xdr:colOff>539750</xdr:colOff>
      <xdr:row>167</xdr:row>
      <xdr:rowOff>450850</xdr:rowOff>
    </xdr:to>
    <xdr:pic>
      <xdr:nvPicPr>
        <xdr:cNvPr id="1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677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1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1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1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1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1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1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1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1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1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1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1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2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2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0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20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0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171</xdr:row>
      <xdr:rowOff>257175</xdr:rowOff>
    </xdr:from>
    <xdr:to>
      <xdr:col>10</xdr:col>
      <xdr:colOff>514350</xdr:colOff>
      <xdr:row>171</xdr:row>
      <xdr:rowOff>476250</xdr:rowOff>
    </xdr:to>
    <xdr:pic>
      <xdr:nvPicPr>
        <xdr:cNvPr id="2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171</xdr:row>
      <xdr:rowOff>257175</xdr:rowOff>
    </xdr:from>
    <xdr:to>
      <xdr:col>3</xdr:col>
      <xdr:colOff>514350</xdr:colOff>
      <xdr:row>171</xdr:row>
      <xdr:rowOff>476250</xdr:rowOff>
    </xdr:to>
    <xdr:pic>
      <xdr:nvPicPr>
        <xdr:cNvPr id="2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29540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171</xdr:row>
      <xdr:rowOff>279400</xdr:rowOff>
    </xdr:from>
    <xdr:to>
      <xdr:col>10</xdr:col>
      <xdr:colOff>196850</xdr:colOff>
      <xdr:row>171</xdr:row>
      <xdr:rowOff>498475</xdr:rowOff>
    </xdr:to>
    <xdr:pic>
      <xdr:nvPicPr>
        <xdr:cNvPr id="2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171</xdr:row>
      <xdr:rowOff>279400</xdr:rowOff>
    </xdr:from>
    <xdr:to>
      <xdr:col>3</xdr:col>
      <xdr:colOff>196850</xdr:colOff>
      <xdr:row>171</xdr:row>
      <xdr:rowOff>498475</xdr:rowOff>
    </xdr:to>
    <xdr:pic>
      <xdr:nvPicPr>
        <xdr:cNvPr id="2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29562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2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9511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171</xdr:row>
      <xdr:rowOff>231775</xdr:rowOff>
    </xdr:from>
    <xdr:to>
      <xdr:col>3</xdr:col>
      <xdr:colOff>539750</xdr:colOff>
      <xdr:row>171</xdr:row>
      <xdr:rowOff>450850</xdr:rowOff>
    </xdr:to>
    <xdr:pic>
      <xdr:nvPicPr>
        <xdr:cNvPr id="2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951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2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9511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171</xdr:row>
      <xdr:rowOff>231775</xdr:rowOff>
    </xdr:from>
    <xdr:to>
      <xdr:col>10</xdr:col>
      <xdr:colOff>539750</xdr:colOff>
      <xdr:row>171</xdr:row>
      <xdr:rowOff>450850</xdr:rowOff>
    </xdr:to>
    <xdr:pic>
      <xdr:nvPicPr>
        <xdr:cNvPr id="20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951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2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9511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171</xdr:row>
      <xdr:rowOff>231775</xdr:rowOff>
    </xdr:from>
    <xdr:to>
      <xdr:col>3</xdr:col>
      <xdr:colOff>539750</xdr:colOff>
      <xdr:row>171</xdr:row>
      <xdr:rowOff>450850</xdr:rowOff>
    </xdr:to>
    <xdr:pic>
      <xdr:nvPicPr>
        <xdr:cNvPr id="20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951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2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9511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171</xdr:row>
      <xdr:rowOff>231775</xdr:rowOff>
    </xdr:from>
    <xdr:to>
      <xdr:col>3</xdr:col>
      <xdr:colOff>539750</xdr:colOff>
      <xdr:row>171</xdr:row>
      <xdr:rowOff>450850</xdr:rowOff>
    </xdr:to>
    <xdr:pic>
      <xdr:nvPicPr>
        <xdr:cNvPr id="20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951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2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9511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171</xdr:row>
      <xdr:rowOff>231775</xdr:rowOff>
    </xdr:from>
    <xdr:to>
      <xdr:col>10</xdr:col>
      <xdr:colOff>539750</xdr:colOff>
      <xdr:row>171</xdr:row>
      <xdr:rowOff>450850</xdr:rowOff>
    </xdr:to>
    <xdr:pic>
      <xdr:nvPicPr>
        <xdr:cNvPr id="2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951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171</xdr:row>
      <xdr:rowOff>228600</xdr:rowOff>
    </xdr:from>
    <xdr:to>
      <xdr:col>3</xdr:col>
      <xdr:colOff>260350</xdr:colOff>
      <xdr:row>171</xdr:row>
      <xdr:rowOff>447675</xdr:rowOff>
    </xdr:to>
    <xdr:pic>
      <xdr:nvPicPr>
        <xdr:cNvPr id="2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29511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171</xdr:row>
      <xdr:rowOff>231775</xdr:rowOff>
    </xdr:from>
    <xdr:to>
      <xdr:col>3</xdr:col>
      <xdr:colOff>539750</xdr:colOff>
      <xdr:row>171</xdr:row>
      <xdr:rowOff>450850</xdr:rowOff>
    </xdr:to>
    <xdr:pic>
      <xdr:nvPicPr>
        <xdr:cNvPr id="2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2951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171</xdr:row>
      <xdr:rowOff>228600</xdr:rowOff>
    </xdr:from>
    <xdr:to>
      <xdr:col>10</xdr:col>
      <xdr:colOff>260350</xdr:colOff>
      <xdr:row>171</xdr:row>
      <xdr:rowOff>447675</xdr:rowOff>
    </xdr:to>
    <xdr:pic>
      <xdr:nvPicPr>
        <xdr:cNvPr id="2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29511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171</xdr:row>
      <xdr:rowOff>231775</xdr:rowOff>
    </xdr:from>
    <xdr:to>
      <xdr:col>10</xdr:col>
      <xdr:colOff>539750</xdr:colOff>
      <xdr:row>171</xdr:row>
      <xdr:rowOff>450850</xdr:rowOff>
    </xdr:to>
    <xdr:pic>
      <xdr:nvPicPr>
        <xdr:cNvPr id="2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29514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3826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2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33826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3826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3826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176</xdr:row>
      <xdr:rowOff>257175</xdr:rowOff>
    </xdr:from>
    <xdr:to>
      <xdr:col>10</xdr:col>
      <xdr:colOff>514350</xdr:colOff>
      <xdr:row>176</xdr:row>
      <xdr:rowOff>476250</xdr:rowOff>
    </xdr:to>
    <xdr:pic>
      <xdr:nvPicPr>
        <xdr:cNvPr id="2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33826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176</xdr:row>
      <xdr:rowOff>257175</xdr:rowOff>
    </xdr:from>
    <xdr:to>
      <xdr:col>3</xdr:col>
      <xdr:colOff>514350</xdr:colOff>
      <xdr:row>176</xdr:row>
      <xdr:rowOff>476250</xdr:rowOff>
    </xdr:to>
    <xdr:pic>
      <xdr:nvPicPr>
        <xdr:cNvPr id="2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3826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176</xdr:row>
      <xdr:rowOff>279400</xdr:rowOff>
    </xdr:from>
    <xdr:to>
      <xdr:col>10</xdr:col>
      <xdr:colOff>196850</xdr:colOff>
      <xdr:row>176</xdr:row>
      <xdr:rowOff>498475</xdr:rowOff>
    </xdr:to>
    <xdr:pic>
      <xdr:nvPicPr>
        <xdr:cNvPr id="2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176</xdr:row>
      <xdr:rowOff>279400</xdr:rowOff>
    </xdr:from>
    <xdr:to>
      <xdr:col>3</xdr:col>
      <xdr:colOff>196850</xdr:colOff>
      <xdr:row>176</xdr:row>
      <xdr:rowOff>498475</xdr:rowOff>
    </xdr:to>
    <xdr:pic>
      <xdr:nvPicPr>
        <xdr:cNvPr id="2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3848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176</xdr:row>
      <xdr:rowOff>228600</xdr:rowOff>
    </xdr:from>
    <xdr:to>
      <xdr:col>3</xdr:col>
      <xdr:colOff>260350</xdr:colOff>
      <xdr:row>176</xdr:row>
      <xdr:rowOff>447675</xdr:rowOff>
    </xdr:to>
    <xdr:pic>
      <xdr:nvPicPr>
        <xdr:cNvPr id="2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3797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176</xdr:row>
      <xdr:rowOff>231775</xdr:rowOff>
    </xdr:from>
    <xdr:to>
      <xdr:col>3</xdr:col>
      <xdr:colOff>539750</xdr:colOff>
      <xdr:row>176</xdr:row>
      <xdr:rowOff>450850</xdr:rowOff>
    </xdr:to>
    <xdr:pic>
      <xdr:nvPicPr>
        <xdr:cNvPr id="2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380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176</xdr:row>
      <xdr:rowOff>228600</xdr:rowOff>
    </xdr:from>
    <xdr:to>
      <xdr:col>10</xdr:col>
      <xdr:colOff>260350</xdr:colOff>
      <xdr:row>176</xdr:row>
      <xdr:rowOff>447675</xdr:rowOff>
    </xdr:to>
    <xdr:pic>
      <xdr:nvPicPr>
        <xdr:cNvPr id="2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3797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176</xdr:row>
      <xdr:rowOff>231775</xdr:rowOff>
    </xdr:from>
    <xdr:to>
      <xdr:col>10</xdr:col>
      <xdr:colOff>539750</xdr:colOff>
      <xdr:row>176</xdr:row>
      <xdr:rowOff>450850</xdr:rowOff>
    </xdr:to>
    <xdr:pic>
      <xdr:nvPicPr>
        <xdr:cNvPr id="2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380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176</xdr:row>
      <xdr:rowOff>228600</xdr:rowOff>
    </xdr:from>
    <xdr:to>
      <xdr:col>3</xdr:col>
      <xdr:colOff>260350</xdr:colOff>
      <xdr:row>176</xdr:row>
      <xdr:rowOff>447675</xdr:rowOff>
    </xdr:to>
    <xdr:pic>
      <xdr:nvPicPr>
        <xdr:cNvPr id="2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3797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176</xdr:row>
      <xdr:rowOff>231775</xdr:rowOff>
    </xdr:from>
    <xdr:to>
      <xdr:col>3</xdr:col>
      <xdr:colOff>539750</xdr:colOff>
      <xdr:row>176</xdr:row>
      <xdr:rowOff>450850</xdr:rowOff>
    </xdr:to>
    <xdr:pic>
      <xdr:nvPicPr>
        <xdr:cNvPr id="2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380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176</xdr:row>
      <xdr:rowOff>228600</xdr:rowOff>
    </xdr:from>
    <xdr:to>
      <xdr:col>3</xdr:col>
      <xdr:colOff>260350</xdr:colOff>
      <xdr:row>176</xdr:row>
      <xdr:rowOff>447675</xdr:rowOff>
    </xdr:to>
    <xdr:pic>
      <xdr:nvPicPr>
        <xdr:cNvPr id="2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3797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176</xdr:row>
      <xdr:rowOff>231775</xdr:rowOff>
    </xdr:from>
    <xdr:to>
      <xdr:col>3</xdr:col>
      <xdr:colOff>539750</xdr:colOff>
      <xdr:row>176</xdr:row>
      <xdr:rowOff>450850</xdr:rowOff>
    </xdr:to>
    <xdr:pic>
      <xdr:nvPicPr>
        <xdr:cNvPr id="2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380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176</xdr:row>
      <xdr:rowOff>228600</xdr:rowOff>
    </xdr:from>
    <xdr:to>
      <xdr:col>10</xdr:col>
      <xdr:colOff>260350</xdr:colOff>
      <xdr:row>176</xdr:row>
      <xdr:rowOff>447675</xdr:rowOff>
    </xdr:to>
    <xdr:pic>
      <xdr:nvPicPr>
        <xdr:cNvPr id="2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3797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176</xdr:row>
      <xdr:rowOff>231775</xdr:rowOff>
    </xdr:from>
    <xdr:to>
      <xdr:col>10</xdr:col>
      <xdr:colOff>539750</xdr:colOff>
      <xdr:row>176</xdr:row>
      <xdr:rowOff>450850</xdr:rowOff>
    </xdr:to>
    <xdr:pic>
      <xdr:nvPicPr>
        <xdr:cNvPr id="2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380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176</xdr:row>
      <xdr:rowOff>228600</xdr:rowOff>
    </xdr:from>
    <xdr:to>
      <xdr:col>3</xdr:col>
      <xdr:colOff>260350</xdr:colOff>
      <xdr:row>176</xdr:row>
      <xdr:rowOff>447675</xdr:rowOff>
    </xdr:to>
    <xdr:pic>
      <xdr:nvPicPr>
        <xdr:cNvPr id="2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3797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176</xdr:row>
      <xdr:rowOff>231775</xdr:rowOff>
    </xdr:from>
    <xdr:to>
      <xdr:col>3</xdr:col>
      <xdr:colOff>539750</xdr:colOff>
      <xdr:row>176</xdr:row>
      <xdr:rowOff>450850</xdr:rowOff>
    </xdr:to>
    <xdr:pic>
      <xdr:nvPicPr>
        <xdr:cNvPr id="2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380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176</xdr:row>
      <xdr:rowOff>228600</xdr:rowOff>
    </xdr:from>
    <xdr:to>
      <xdr:col>10</xdr:col>
      <xdr:colOff>260350</xdr:colOff>
      <xdr:row>176</xdr:row>
      <xdr:rowOff>447675</xdr:rowOff>
    </xdr:to>
    <xdr:pic>
      <xdr:nvPicPr>
        <xdr:cNvPr id="2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3797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176</xdr:row>
      <xdr:rowOff>231775</xdr:rowOff>
    </xdr:from>
    <xdr:to>
      <xdr:col>10</xdr:col>
      <xdr:colOff>539750</xdr:colOff>
      <xdr:row>176</xdr:row>
      <xdr:rowOff>450850</xdr:rowOff>
    </xdr:to>
    <xdr:pic>
      <xdr:nvPicPr>
        <xdr:cNvPr id="2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3800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181</xdr:row>
      <xdr:rowOff>257175</xdr:rowOff>
    </xdr:from>
    <xdr:to>
      <xdr:col>10</xdr:col>
      <xdr:colOff>514350</xdr:colOff>
      <xdr:row>181</xdr:row>
      <xdr:rowOff>476250</xdr:rowOff>
    </xdr:to>
    <xdr:pic>
      <xdr:nvPicPr>
        <xdr:cNvPr id="2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181</xdr:row>
      <xdr:rowOff>257175</xdr:rowOff>
    </xdr:from>
    <xdr:to>
      <xdr:col>10</xdr:col>
      <xdr:colOff>514350</xdr:colOff>
      <xdr:row>181</xdr:row>
      <xdr:rowOff>476250</xdr:rowOff>
    </xdr:to>
    <xdr:pic>
      <xdr:nvPicPr>
        <xdr:cNvPr id="2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181</xdr:row>
      <xdr:rowOff>257175</xdr:rowOff>
    </xdr:from>
    <xdr:to>
      <xdr:col>10</xdr:col>
      <xdr:colOff>514350</xdr:colOff>
      <xdr:row>181</xdr:row>
      <xdr:rowOff>476250</xdr:rowOff>
    </xdr:to>
    <xdr:pic>
      <xdr:nvPicPr>
        <xdr:cNvPr id="2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181</xdr:row>
      <xdr:rowOff>257175</xdr:rowOff>
    </xdr:from>
    <xdr:to>
      <xdr:col>10</xdr:col>
      <xdr:colOff>514350</xdr:colOff>
      <xdr:row>181</xdr:row>
      <xdr:rowOff>476250</xdr:rowOff>
    </xdr:to>
    <xdr:pic>
      <xdr:nvPicPr>
        <xdr:cNvPr id="2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181</xdr:row>
      <xdr:rowOff>257175</xdr:rowOff>
    </xdr:from>
    <xdr:to>
      <xdr:col>10</xdr:col>
      <xdr:colOff>514350</xdr:colOff>
      <xdr:row>181</xdr:row>
      <xdr:rowOff>476250</xdr:rowOff>
    </xdr:to>
    <xdr:pic>
      <xdr:nvPicPr>
        <xdr:cNvPr id="2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181</xdr:row>
      <xdr:rowOff>257175</xdr:rowOff>
    </xdr:from>
    <xdr:to>
      <xdr:col>3</xdr:col>
      <xdr:colOff>514350</xdr:colOff>
      <xdr:row>181</xdr:row>
      <xdr:rowOff>476250</xdr:rowOff>
    </xdr:to>
    <xdr:pic>
      <xdr:nvPicPr>
        <xdr:cNvPr id="2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36959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181</xdr:row>
      <xdr:rowOff>279400</xdr:rowOff>
    </xdr:from>
    <xdr:to>
      <xdr:col>10</xdr:col>
      <xdr:colOff>196850</xdr:colOff>
      <xdr:row>181</xdr:row>
      <xdr:rowOff>498475</xdr:rowOff>
    </xdr:to>
    <xdr:pic>
      <xdr:nvPicPr>
        <xdr:cNvPr id="2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181</xdr:row>
      <xdr:rowOff>279400</xdr:rowOff>
    </xdr:from>
    <xdr:to>
      <xdr:col>3</xdr:col>
      <xdr:colOff>196850</xdr:colOff>
      <xdr:row>181</xdr:row>
      <xdr:rowOff>498475</xdr:rowOff>
    </xdr:to>
    <xdr:pic>
      <xdr:nvPicPr>
        <xdr:cNvPr id="2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36982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69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2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693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2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69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22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693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69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2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693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69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2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3693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2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69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2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693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369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181</xdr:row>
      <xdr:rowOff>287804</xdr:rowOff>
    </xdr:from>
    <xdr:to>
      <xdr:col>3</xdr:col>
      <xdr:colOff>465044</xdr:colOff>
      <xdr:row>181</xdr:row>
      <xdr:rowOff>506879</xdr:rowOff>
    </xdr:to>
    <xdr:pic>
      <xdr:nvPicPr>
        <xdr:cNvPr id="2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369906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2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36931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2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36934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186</xdr:row>
      <xdr:rowOff>257175</xdr:rowOff>
    </xdr:from>
    <xdr:to>
      <xdr:col>10</xdr:col>
      <xdr:colOff>514350</xdr:colOff>
      <xdr:row>186</xdr:row>
      <xdr:rowOff>476250</xdr:rowOff>
    </xdr:to>
    <xdr:pic>
      <xdr:nvPicPr>
        <xdr:cNvPr id="2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186</xdr:row>
      <xdr:rowOff>257175</xdr:rowOff>
    </xdr:from>
    <xdr:to>
      <xdr:col>3</xdr:col>
      <xdr:colOff>514350</xdr:colOff>
      <xdr:row>186</xdr:row>
      <xdr:rowOff>476250</xdr:rowOff>
    </xdr:to>
    <xdr:pic>
      <xdr:nvPicPr>
        <xdr:cNvPr id="2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1360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186</xdr:row>
      <xdr:rowOff>279400</xdr:rowOff>
    </xdr:from>
    <xdr:to>
      <xdr:col>10</xdr:col>
      <xdr:colOff>196850</xdr:colOff>
      <xdr:row>186</xdr:row>
      <xdr:rowOff>498475</xdr:rowOff>
    </xdr:to>
    <xdr:pic>
      <xdr:nvPicPr>
        <xdr:cNvPr id="2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186</xdr:row>
      <xdr:rowOff>279400</xdr:rowOff>
    </xdr:from>
    <xdr:to>
      <xdr:col>3</xdr:col>
      <xdr:colOff>196850</xdr:colOff>
      <xdr:row>186</xdr:row>
      <xdr:rowOff>498475</xdr:rowOff>
    </xdr:to>
    <xdr:pic>
      <xdr:nvPicPr>
        <xdr:cNvPr id="2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1382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133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2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133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133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133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133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2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133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133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186</xdr:row>
      <xdr:rowOff>231775</xdr:rowOff>
    </xdr:from>
    <xdr:to>
      <xdr:col>3</xdr:col>
      <xdr:colOff>539750</xdr:colOff>
      <xdr:row>186</xdr:row>
      <xdr:rowOff>450850</xdr:rowOff>
    </xdr:to>
    <xdr:pic>
      <xdr:nvPicPr>
        <xdr:cNvPr id="2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133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133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133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186</xdr:row>
      <xdr:rowOff>228600</xdr:rowOff>
    </xdr:from>
    <xdr:to>
      <xdr:col>3</xdr:col>
      <xdr:colOff>260350</xdr:colOff>
      <xdr:row>186</xdr:row>
      <xdr:rowOff>447675</xdr:rowOff>
    </xdr:to>
    <xdr:pic>
      <xdr:nvPicPr>
        <xdr:cNvPr id="2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133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186</xdr:row>
      <xdr:rowOff>287804</xdr:rowOff>
    </xdr:from>
    <xdr:to>
      <xdr:col>3</xdr:col>
      <xdr:colOff>465044</xdr:colOff>
      <xdr:row>186</xdr:row>
      <xdr:rowOff>506879</xdr:rowOff>
    </xdr:to>
    <xdr:pic>
      <xdr:nvPicPr>
        <xdr:cNvPr id="2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413911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186</xdr:row>
      <xdr:rowOff>228600</xdr:rowOff>
    </xdr:from>
    <xdr:to>
      <xdr:col>10</xdr:col>
      <xdr:colOff>260350</xdr:colOff>
      <xdr:row>186</xdr:row>
      <xdr:rowOff>447675</xdr:rowOff>
    </xdr:to>
    <xdr:pic>
      <xdr:nvPicPr>
        <xdr:cNvPr id="2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133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186</xdr:row>
      <xdr:rowOff>231775</xdr:rowOff>
    </xdr:from>
    <xdr:to>
      <xdr:col>10</xdr:col>
      <xdr:colOff>539750</xdr:colOff>
      <xdr:row>186</xdr:row>
      <xdr:rowOff>450850</xdr:rowOff>
    </xdr:to>
    <xdr:pic>
      <xdr:nvPicPr>
        <xdr:cNvPr id="2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133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191</xdr:row>
      <xdr:rowOff>257175</xdr:rowOff>
    </xdr:from>
    <xdr:to>
      <xdr:col>10</xdr:col>
      <xdr:colOff>514350</xdr:colOff>
      <xdr:row>191</xdr:row>
      <xdr:rowOff>476250</xdr:rowOff>
    </xdr:to>
    <xdr:pic>
      <xdr:nvPicPr>
        <xdr:cNvPr id="2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191</xdr:row>
      <xdr:rowOff>257175</xdr:rowOff>
    </xdr:from>
    <xdr:to>
      <xdr:col>3</xdr:col>
      <xdr:colOff>514350</xdr:colOff>
      <xdr:row>191</xdr:row>
      <xdr:rowOff>476250</xdr:rowOff>
    </xdr:to>
    <xdr:pic>
      <xdr:nvPicPr>
        <xdr:cNvPr id="2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4770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191</xdr:row>
      <xdr:rowOff>279400</xdr:rowOff>
    </xdr:from>
    <xdr:to>
      <xdr:col>10</xdr:col>
      <xdr:colOff>196850</xdr:colOff>
      <xdr:row>191</xdr:row>
      <xdr:rowOff>498475</xdr:rowOff>
    </xdr:to>
    <xdr:pic>
      <xdr:nvPicPr>
        <xdr:cNvPr id="2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191</xdr:row>
      <xdr:rowOff>279400</xdr:rowOff>
    </xdr:from>
    <xdr:to>
      <xdr:col>3</xdr:col>
      <xdr:colOff>196850</xdr:colOff>
      <xdr:row>191</xdr:row>
      <xdr:rowOff>498475</xdr:rowOff>
    </xdr:to>
    <xdr:pic>
      <xdr:nvPicPr>
        <xdr:cNvPr id="2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4792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191</xdr:row>
      <xdr:rowOff>228600</xdr:rowOff>
    </xdr:from>
    <xdr:to>
      <xdr:col>3</xdr:col>
      <xdr:colOff>260350</xdr:colOff>
      <xdr:row>191</xdr:row>
      <xdr:rowOff>447675</xdr:rowOff>
    </xdr:to>
    <xdr:pic>
      <xdr:nvPicPr>
        <xdr:cNvPr id="2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474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191</xdr:row>
      <xdr:rowOff>231775</xdr:rowOff>
    </xdr:from>
    <xdr:to>
      <xdr:col>3</xdr:col>
      <xdr:colOff>539750</xdr:colOff>
      <xdr:row>191</xdr:row>
      <xdr:rowOff>450850</xdr:rowOff>
    </xdr:to>
    <xdr:pic>
      <xdr:nvPicPr>
        <xdr:cNvPr id="2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474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191</xdr:row>
      <xdr:rowOff>228600</xdr:rowOff>
    </xdr:from>
    <xdr:to>
      <xdr:col>10</xdr:col>
      <xdr:colOff>260350</xdr:colOff>
      <xdr:row>191</xdr:row>
      <xdr:rowOff>447675</xdr:rowOff>
    </xdr:to>
    <xdr:pic>
      <xdr:nvPicPr>
        <xdr:cNvPr id="2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474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191</xdr:row>
      <xdr:rowOff>231775</xdr:rowOff>
    </xdr:from>
    <xdr:to>
      <xdr:col>10</xdr:col>
      <xdr:colOff>539750</xdr:colOff>
      <xdr:row>191</xdr:row>
      <xdr:rowOff>450850</xdr:rowOff>
    </xdr:to>
    <xdr:pic>
      <xdr:nvPicPr>
        <xdr:cNvPr id="2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474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191</xdr:row>
      <xdr:rowOff>228600</xdr:rowOff>
    </xdr:from>
    <xdr:to>
      <xdr:col>3</xdr:col>
      <xdr:colOff>260350</xdr:colOff>
      <xdr:row>191</xdr:row>
      <xdr:rowOff>447675</xdr:rowOff>
    </xdr:to>
    <xdr:pic>
      <xdr:nvPicPr>
        <xdr:cNvPr id="2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474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191</xdr:row>
      <xdr:rowOff>231775</xdr:rowOff>
    </xdr:from>
    <xdr:to>
      <xdr:col>3</xdr:col>
      <xdr:colOff>539750</xdr:colOff>
      <xdr:row>191</xdr:row>
      <xdr:rowOff>450850</xdr:rowOff>
    </xdr:to>
    <xdr:pic>
      <xdr:nvPicPr>
        <xdr:cNvPr id="2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474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191</xdr:row>
      <xdr:rowOff>228600</xdr:rowOff>
    </xdr:from>
    <xdr:to>
      <xdr:col>3</xdr:col>
      <xdr:colOff>260350</xdr:colOff>
      <xdr:row>191</xdr:row>
      <xdr:rowOff>447675</xdr:rowOff>
    </xdr:to>
    <xdr:pic>
      <xdr:nvPicPr>
        <xdr:cNvPr id="2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474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191</xdr:row>
      <xdr:rowOff>231775</xdr:rowOff>
    </xdr:from>
    <xdr:to>
      <xdr:col>3</xdr:col>
      <xdr:colOff>539750</xdr:colOff>
      <xdr:row>191</xdr:row>
      <xdr:rowOff>450850</xdr:rowOff>
    </xdr:to>
    <xdr:pic>
      <xdr:nvPicPr>
        <xdr:cNvPr id="2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474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191</xdr:row>
      <xdr:rowOff>228600</xdr:rowOff>
    </xdr:from>
    <xdr:to>
      <xdr:col>10</xdr:col>
      <xdr:colOff>260350</xdr:colOff>
      <xdr:row>191</xdr:row>
      <xdr:rowOff>447675</xdr:rowOff>
    </xdr:to>
    <xdr:pic>
      <xdr:nvPicPr>
        <xdr:cNvPr id="2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474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191</xdr:row>
      <xdr:rowOff>231775</xdr:rowOff>
    </xdr:from>
    <xdr:to>
      <xdr:col>10</xdr:col>
      <xdr:colOff>539750</xdr:colOff>
      <xdr:row>191</xdr:row>
      <xdr:rowOff>450850</xdr:rowOff>
    </xdr:to>
    <xdr:pic>
      <xdr:nvPicPr>
        <xdr:cNvPr id="2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474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191</xdr:row>
      <xdr:rowOff>228600</xdr:rowOff>
    </xdr:from>
    <xdr:to>
      <xdr:col>3</xdr:col>
      <xdr:colOff>260350</xdr:colOff>
      <xdr:row>191</xdr:row>
      <xdr:rowOff>447675</xdr:rowOff>
    </xdr:to>
    <xdr:pic>
      <xdr:nvPicPr>
        <xdr:cNvPr id="2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474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191</xdr:row>
      <xdr:rowOff>287804</xdr:rowOff>
    </xdr:from>
    <xdr:to>
      <xdr:col>3</xdr:col>
      <xdr:colOff>465044</xdr:colOff>
      <xdr:row>191</xdr:row>
      <xdr:rowOff>506879</xdr:rowOff>
    </xdr:to>
    <xdr:pic>
      <xdr:nvPicPr>
        <xdr:cNvPr id="2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448011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191</xdr:row>
      <xdr:rowOff>228600</xdr:rowOff>
    </xdr:from>
    <xdr:to>
      <xdr:col>10</xdr:col>
      <xdr:colOff>260350</xdr:colOff>
      <xdr:row>191</xdr:row>
      <xdr:rowOff>447675</xdr:rowOff>
    </xdr:to>
    <xdr:pic>
      <xdr:nvPicPr>
        <xdr:cNvPr id="2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474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191</xdr:row>
      <xdr:rowOff>231775</xdr:rowOff>
    </xdr:from>
    <xdr:to>
      <xdr:col>10</xdr:col>
      <xdr:colOff>539750</xdr:colOff>
      <xdr:row>191</xdr:row>
      <xdr:rowOff>450850</xdr:rowOff>
    </xdr:to>
    <xdr:pic>
      <xdr:nvPicPr>
        <xdr:cNvPr id="2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4745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5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196</xdr:row>
      <xdr:rowOff>257175</xdr:rowOff>
    </xdr:from>
    <xdr:to>
      <xdr:col>10</xdr:col>
      <xdr:colOff>514350</xdr:colOff>
      <xdr:row>196</xdr:row>
      <xdr:rowOff>476250</xdr:rowOff>
    </xdr:to>
    <xdr:pic>
      <xdr:nvPicPr>
        <xdr:cNvPr id="2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196</xdr:row>
      <xdr:rowOff>257175</xdr:rowOff>
    </xdr:from>
    <xdr:to>
      <xdr:col>3</xdr:col>
      <xdr:colOff>514350</xdr:colOff>
      <xdr:row>196</xdr:row>
      <xdr:rowOff>476250</xdr:rowOff>
    </xdr:to>
    <xdr:pic>
      <xdr:nvPicPr>
        <xdr:cNvPr id="2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49113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196</xdr:row>
      <xdr:rowOff>279400</xdr:rowOff>
    </xdr:from>
    <xdr:to>
      <xdr:col>10</xdr:col>
      <xdr:colOff>196850</xdr:colOff>
      <xdr:row>196</xdr:row>
      <xdr:rowOff>498475</xdr:rowOff>
    </xdr:to>
    <xdr:pic>
      <xdr:nvPicPr>
        <xdr:cNvPr id="2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196</xdr:row>
      <xdr:rowOff>279400</xdr:rowOff>
    </xdr:from>
    <xdr:to>
      <xdr:col>3</xdr:col>
      <xdr:colOff>196850</xdr:colOff>
      <xdr:row>196</xdr:row>
      <xdr:rowOff>498475</xdr:rowOff>
    </xdr:to>
    <xdr:pic>
      <xdr:nvPicPr>
        <xdr:cNvPr id="2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49136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2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908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196</xdr:row>
      <xdr:rowOff>231775</xdr:rowOff>
    </xdr:from>
    <xdr:to>
      <xdr:col>3</xdr:col>
      <xdr:colOff>539750</xdr:colOff>
      <xdr:row>196</xdr:row>
      <xdr:rowOff>450850</xdr:rowOff>
    </xdr:to>
    <xdr:pic>
      <xdr:nvPicPr>
        <xdr:cNvPr id="26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908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196</xdr:row>
      <xdr:rowOff>228600</xdr:rowOff>
    </xdr:from>
    <xdr:to>
      <xdr:col>10</xdr:col>
      <xdr:colOff>260350</xdr:colOff>
      <xdr:row>196</xdr:row>
      <xdr:rowOff>447675</xdr:rowOff>
    </xdr:to>
    <xdr:pic>
      <xdr:nvPicPr>
        <xdr:cNvPr id="2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908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196</xdr:row>
      <xdr:rowOff>231775</xdr:rowOff>
    </xdr:from>
    <xdr:to>
      <xdr:col>10</xdr:col>
      <xdr:colOff>539750</xdr:colOff>
      <xdr:row>196</xdr:row>
      <xdr:rowOff>450850</xdr:rowOff>
    </xdr:to>
    <xdr:pic>
      <xdr:nvPicPr>
        <xdr:cNvPr id="26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908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2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908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196</xdr:row>
      <xdr:rowOff>231775</xdr:rowOff>
    </xdr:from>
    <xdr:to>
      <xdr:col>3</xdr:col>
      <xdr:colOff>539750</xdr:colOff>
      <xdr:row>196</xdr:row>
      <xdr:rowOff>450850</xdr:rowOff>
    </xdr:to>
    <xdr:pic>
      <xdr:nvPicPr>
        <xdr:cNvPr id="26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908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2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908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196</xdr:row>
      <xdr:rowOff>231775</xdr:rowOff>
    </xdr:from>
    <xdr:to>
      <xdr:col>3</xdr:col>
      <xdr:colOff>539750</xdr:colOff>
      <xdr:row>196</xdr:row>
      <xdr:rowOff>450850</xdr:rowOff>
    </xdr:to>
    <xdr:pic>
      <xdr:nvPicPr>
        <xdr:cNvPr id="26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4908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196</xdr:row>
      <xdr:rowOff>228600</xdr:rowOff>
    </xdr:from>
    <xdr:to>
      <xdr:col>10</xdr:col>
      <xdr:colOff>260350</xdr:colOff>
      <xdr:row>196</xdr:row>
      <xdr:rowOff>447675</xdr:rowOff>
    </xdr:to>
    <xdr:pic>
      <xdr:nvPicPr>
        <xdr:cNvPr id="2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908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196</xdr:row>
      <xdr:rowOff>231775</xdr:rowOff>
    </xdr:from>
    <xdr:to>
      <xdr:col>10</xdr:col>
      <xdr:colOff>539750</xdr:colOff>
      <xdr:row>196</xdr:row>
      <xdr:rowOff>450850</xdr:rowOff>
    </xdr:to>
    <xdr:pic>
      <xdr:nvPicPr>
        <xdr:cNvPr id="26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908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196</xdr:row>
      <xdr:rowOff>228600</xdr:rowOff>
    </xdr:from>
    <xdr:to>
      <xdr:col>3</xdr:col>
      <xdr:colOff>260350</xdr:colOff>
      <xdr:row>196</xdr:row>
      <xdr:rowOff>447675</xdr:rowOff>
    </xdr:to>
    <xdr:pic>
      <xdr:nvPicPr>
        <xdr:cNvPr id="2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4908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196</xdr:row>
      <xdr:rowOff>287804</xdr:rowOff>
    </xdr:from>
    <xdr:to>
      <xdr:col>3</xdr:col>
      <xdr:colOff>465044</xdr:colOff>
      <xdr:row>196</xdr:row>
      <xdr:rowOff>506879</xdr:rowOff>
    </xdr:to>
    <xdr:pic>
      <xdr:nvPicPr>
        <xdr:cNvPr id="26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491445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196</xdr:row>
      <xdr:rowOff>228600</xdr:rowOff>
    </xdr:from>
    <xdr:to>
      <xdr:col>10</xdr:col>
      <xdr:colOff>260350</xdr:colOff>
      <xdr:row>196</xdr:row>
      <xdr:rowOff>447675</xdr:rowOff>
    </xdr:to>
    <xdr:pic>
      <xdr:nvPicPr>
        <xdr:cNvPr id="2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4908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196</xdr:row>
      <xdr:rowOff>231775</xdr:rowOff>
    </xdr:from>
    <xdr:to>
      <xdr:col>10</xdr:col>
      <xdr:colOff>539750</xdr:colOff>
      <xdr:row>196</xdr:row>
      <xdr:rowOff>450850</xdr:rowOff>
    </xdr:to>
    <xdr:pic>
      <xdr:nvPicPr>
        <xdr:cNvPr id="26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4908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6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6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7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7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7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7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7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7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7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7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201</xdr:row>
      <xdr:rowOff>257175</xdr:rowOff>
    </xdr:from>
    <xdr:to>
      <xdr:col>10</xdr:col>
      <xdr:colOff>514350</xdr:colOff>
      <xdr:row>201</xdr:row>
      <xdr:rowOff>476250</xdr:rowOff>
    </xdr:to>
    <xdr:pic>
      <xdr:nvPicPr>
        <xdr:cNvPr id="27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201</xdr:row>
      <xdr:rowOff>257175</xdr:rowOff>
    </xdr:from>
    <xdr:to>
      <xdr:col>3</xdr:col>
      <xdr:colOff>514350</xdr:colOff>
      <xdr:row>201</xdr:row>
      <xdr:rowOff>476250</xdr:rowOff>
    </xdr:to>
    <xdr:pic>
      <xdr:nvPicPr>
        <xdr:cNvPr id="27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2409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201</xdr:row>
      <xdr:rowOff>279400</xdr:rowOff>
    </xdr:from>
    <xdr:to>
      <xdr:col>10</xdr:col>
      <xdr:colOff>196850</xdr:colOff>
      <xdr:row>201</xdr:row>
      <xdr:rowOff>498475</xdr:rowOff>
    </xdr:to>
    <xdr:pic>
      <xdr:nvPicPr>
        <xdr:cNvPr id="2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201</xdr:row>
      <xdr:rowOff>279400</xdr:rowOff>
    </xdr:from>
    <xdr:to>
      <xdr:col>3</xdr:col>
      <xdr:colOff>196850</xdr:colOff>
      <xdr:row>201</xdr:row>
      <xdr:rowOff>498475</xdr:rowOff>
    </xdr:to>
    <xdr:pic>
      <xdr:nvPicPr>
        <xdr:cNvPr id="2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2431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238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27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238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238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7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238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238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27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238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238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27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238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238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7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238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238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201</xdr:row>
      <xdr:rowOff>287804</xdr:rowOff>
    </xdr:from>
    <xdr:to>
      <xdr:col>3</xdr:col>
      <xdr:colOff>465044</xdr:colOff>
      <xdr:row>201</xdr:row>
      <xdr:rowOff>506879</xdr:rowOff>
    </xdr:to>
    <xdr:pic>
      <xdr:nvPicPr>
        <xdr:cNvPr id="28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524401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2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2380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28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238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8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6267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8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6267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8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6267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8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6267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206</xdr:row>
      <xdr:rowOff>257175</xdr:rowOff>
    </xdr:from>
    <xdr:to>
      <xdr:col>10</xdr:col>
      <xdr:colOff>514350</xdr:colOff>
      <xdr:row>206</xdr:row>
      <xdr:rowOff>476250</xdr:rowOff>
    </xdr:to>
    <xdr:pic>
      <xdr:nvPicPr>
        <xdr:cNvPr id="28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6267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206</xdr:row>
      <xdr:rowOff>257175</xdr:rowOff>
    </xdr:from>
    <xdr:to>
      <xdr:col>3</xdr:col>
      <xdr:colOff>514350</xdr:colOff>
      <xdr:row>206</xdr:row>
      <xdr:rowOff>476250</xdr:rowOff>
    </xdr:to>
    <xdr:pic>
      <xdr:nvPicPr>
        <xdr:cNvPr id="28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6267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206</xdr:row>
      <xdr:rowOff>279400</xdr:rowOff>
    </xdr:from>
    <xdr:to>
      <xdr:col>10</xdr:col>
      <xdr:colOff>196850</xdr:colOff>
      <xdr:row>206</xdr:row>
      <xdr:rowOff>498475</xdr:rowOff>
    </xdr:to>
    <xdr:pic>
      <xdr:nvPicPr>
        <xdr:cNvPr id="2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206</xdr:row>
      <xdr:rowOff>279400</xdr:rowOff>
    </xdr:from>
    <xdr:to>
      <xdr:col>3</xdr:col>
      <xdr:colOff>196850</xdr:colOff>
      <xdr:row>206</xdr:row>
      <xdr:rowOff>498475</xdr:rowOff>
    </xdr:to>
    <xdr:pic>
      <xdr:nvPicPr>
        <xdr:cNvPr id="2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6289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2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623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28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624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2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623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2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624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2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623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2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624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2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623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2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624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2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623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28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624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2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623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28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624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2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6238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28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624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8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9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210</xdr:row>
      <xdr:rowOff>257175</xdr:rowOff>
    </xdr:from>
    <xdr:to>
      <xdr:col>10</xdr:col>
      <xdr:colOff>514350</xdr:colOff>
      <xdr:row>210</xdr:row>
      <xdr:rowOff>476250</xdr:rowOff>
    </xdr:to>
    <xdr:pic>
      <xdr:nvPicPr>
        <xdr:cNvPr id="29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210</xdr:row>
      <xdr:rowOff>257175</xdr:rowOff>
    </xdr:from>
    <xdr:to>
      <xdr:col>3</xdr:col>
      <xdr:colOff>514350</xdr:colOff>
      <xdr:row>210</xdr:row>
      <xdr:rowOff>476250</xdr:rowOff>
    </xdr:to>
    <xdr:pic>
      <xdr:nvPicPr>
        <xdr:cNvPr id="29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591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210</xdr:row>
      <xdr:rowOff>279400</xdr:rowOff>
    </xdr:from>
    <xdr:to>
      <xdr:col>10</xdr:col>
      <xdr:colOff>196850</xdr:colOff>
      <xdr:row>210</xdr:row>
      <xdr:rowOff>498475</xdr:rowOff>
    </xdr:to>
    <xdr:pic>
      <xdr:nvPicPr>
        <xdr:cNvPr id="2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210</xdr:row>
      <xdr:rowOff>279400</xdr:rowOff>
    </xdr:from>
    <xdr:to>
      <xdr:col>3</xdr:col>
      <xdr:colOff>196850</xdr:colOff>
      <xdr:row>210</xdr:row>
      <xdr:rowOff>498475</xdr:rowOff>
    </xdr:to>
    <xdr:pic>
      <xdr:nvPicPr>
        <xdr:cNvPr id="2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5912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2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90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29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908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2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90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29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908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2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90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29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908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2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90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29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5908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2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90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29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908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2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590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210</xdr:row>
      <xdr:rowOff>287804</xdr:rowOff>
    </xdr:from>
    <xdr:to>
      <xdr:col>3</xdr:col>
      <xdr:colOff>465044</xdr:colOff>
      <xdr:row>210</xdr:row>
      <xdr:rowOff>506879</xdr:rowOff>
    </xdr:to>
    <xdr:pic>
      <xdr:nvPicPr>
        <xdr:cNvPr id="29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591362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2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5907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29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5908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2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0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0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0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0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215</xdr:row>
      <xdr:rowOff>257175</xdr:rowOff>
    </xdr:from>
    <xdr:to>
      <xdr:col>10</xdr:col>
      <xdr:colOff>514350</xdr:colOff>
      <xdr:row>215</xdr:row>
      <xdr:rowOff>476250</xdr:rowOff>
    </xdr:to>
    <xdr:pic>
      <xdr:nvPicPr>
        <xdr:cNvPr id="3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215</xdr:row>
      <xdr:rowOff>257175</xdr:rowOff>
    </xdr:from>
    <xdr:to>
      <xdr:col>3</xdr:col>
      <xdr:colOff>514350</xdr:colOff>
      <xdr:row>215</xdr:row>
      <xdr:rowOff>476250</xdr:rowOff>
    </xdr:to>
    <xdr:pic>
      <xdr:nvPicPr>
        <xdr:cNvPr id="3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62848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215</xdr:row>
      <xdr:rowOff>279400</xdr:rowOff>
    </xdr:from>
    <xdr:to>
      <xdr:col>10</xdr:col>
      <xdr:colOff>196850</xdr:colOff>
      <xdr:row>215</xdr:row>
      <xdr:rowOff>498475</xdr:rowOff>
    </xdr:to>
    <xdr:pic>
      <xdr:nvPicPr>
        <xdr:cNvPr id="3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215</xdr:row>
      <xdr:rowOff>279400</xdr:rowOff>
    </xdr:from>
    <xdr:to>
      <xdr:col>3</xdr:col>
      <xdr:colOff>196850</xdr:colOff>
      <xdr:row>215</xdr:row>
      <xdr:rowOff>498475</xdr:rowOff>
    </xdr:to>
    <xdr:pic>
      <xdr:nvPicPr>
        <xdr:cNvPr id="3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62871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282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3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282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3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6282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3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6282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282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3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282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282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3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6282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3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6282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3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6282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6282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215</xdr:row>
      <xdr:rowOff>287804</xdr:rowOff>
    </xdr:from>
    <xdr:to>
      <xdr:col>3</xdr:col>
      <xdr:colOff>465044</xdr:colOff>
      <xdr:row>215</xdr:row>
      <xdr:rowOff>506879</xdr:rowOff>
    </xdr:to>
    <xdr:pic>
      <xdr:nvPicPr>
        <xdr:cNvPr id="3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628795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3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6282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3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62823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228</xdr:row>
      <xdr:rowOff>257175</xdr:rowOff>
    </xdr:from>
    <xdr:to>
      <xdr:col>10</xdr:col>
      <xdr:colOff>514350</xdr:colOff>
      <xdr:row>228</xdr:row>
      <xdr:rowOff>476250</xdr:rowOff>
    </xdr:to>
    <xdr:pic>
      <xdr:nvPicPr>
        <xdr:cNvPr id="3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228</xdr:row>
      <xdr:rowOff>257175</xdr:rowOff>
    </xdr:from>
    <xdr:to>
      <xdr:col>3</xdr:col>
      <xdr:colOff>514350</xdr:colOff>
      <xdr:row>228</xdr:row>
      <xdr:rowOff>476250</xdr:rowOff>
    </xdr:to>
    <xdr:pic>
      <xdr:nvPicPr>
        <xdr:cNvPr id="3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2869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228</xdr:row>
      <xdr:rowOff>279400</xdr:rowOff>
    </xdr:from>
    <xdr:to>
      <xdr:col>10</xdr:col>
      <xdr:colOff>196850</xdr:colOff>
      <xdr:row>228</xdr:row>
      <xdr:rowOff>498475</xdr:rowOff>
    </xdr:to>
    <xdr:pic>
      <xdr:nvPicPr>
        <xdr:cNvPr id="3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228</xdr:row>
      <xdr:rowOff>279400</xdr:rowOff>
    </xdr:from>
    <xdr:to>
      <xdr:col>3</xdr:col>
      <xdr:colOff>196850</xdr:colOff>
      <xdr:row>228</xdr:row>
      <xdr:rowOff>498475</xdr:rowOff>
    </xdr:to>
    <xdr:pic>
      <xdr:nvPicPr>
        <xdr:cNvPr id="3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2891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228</xdr:row>
      <xdr:rowOff>228600</xdr:rowOff>
    </xdr:from>
    <xdr:to>
      <xdr:col>3</xdr:col>
      <xdr:colOff>260350</xdr:colOff>
      <xdr:row>228</xdr:row>
      <xdr:rowOff>447675</xdr:rowOff>
    </xdr:to>
    <xdr:pic>
      <xdr:nvPicPr>
        <xdr:cNvPr id="3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284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228</xdr:row>
      <xdr:rowOff>231775</xdr:rowOff>
    </xdr:from>
    <xdr:to>
      <xdr:col>3</xdr:col>
      <xdr:colOff>539750</xdr:colOff>
      <xdr:row>228</xdr:row>
      <xdr:rowOff>450850</xdr:rowOff>
    </xdr:to>
    <xdr:pic>
      <xdr:nvPicPr>
        <xdr:cNvPr id="3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2843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228</xdr:row>
      <xdr:rowOff>228600</xdr:rowOff>
    </xdr:from>
    <xdr:to>
      <xdr:col>10</xdr:col>
      <xdr:colOff>260350</xdr:colOff>
      <xdr:row>228</xdr:row>
      <xdr:rowOff>447675</xdr:rowOff>
    </xdr:to>
    <xdr:pic>
      <xdr:nvPicPr>
        <xdr:cNvPr id="3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7284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228</xdr:row>
      <xdr:rowOff>231775</xdr:rowOff>
    </xdr:from>
    <xdr:to>
      <xdr:col>10</xdr:col>
      <xdr:colOff>539750</xdr:colOff>
      <xdr:row>228</xdr:row>
      <xdr:rowOff>450850</xdr:rowOff>
    </xdr:to>
    <xdr:pic>
      <xdr:nvPicPr>
        <xdr:cNvPr id="3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72843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228</xdr:row>
      <xdr:rowOff>228600</xdr:rowOff>
    </xdr:from>
    <xdr:to>
      <xdr:col>3</xdr:col>
      <xdr:colOff>260350</xdr:colOff>
      <xdr:row>228</xdr:row>
      <xdr:rowOff>447675</xdr:rowOff>
    </xdr:to>
    <xdr:pic>
      <xdr:nvPicPr>
        <xdr:cNvPr id="3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284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228</xdr:row>
      <xdr:rowOff>231775</xdr:rowOff>
    </xdr:from>
    <xdr:to>
      <xdr:col>3</xdr:col>
      <xdr:colOff>539750</xdr:colOff>
      <xdr:row>228</xdr:row>
      <xdr:rowOff>450850</xdr:rowOff>
    </xdr:to>
    <xdr:pic>
      <xdr:nvPicPr>
        <xdr:cNvPr id="3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2843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228</xdr:row>
      <xdr:rowOff>228600</xdr:rowOff>
    </xdr:from>
    <xdr:to>
      <xdr:col>3</xdr:col>
      <xdr:colOff>260350</xdr:colOff>
      <xdr:row>228</xdr:row>
      <xdr:rowOff>447675</xdr:rowOff>
    </xdr:to>
    <xdr:pic>
      <xdr:nvPicPr>
        <xdr:cNvPr id="3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284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228</xdr:row>
      <xdr:rowOff>231775</xdr:rowOff>
    </xdr:from>
    <xdr:to>
      <xdr:col>3</xdr:col>
      <xdr:colOff>539750</xdr:colOff>
      <xdr:row>228</xdr:row>
      <xdr:rowOff>450850</xdr:rowOff>
    </xdr:to>
    <xdr:pic>
      <xdr:nvPicPr>
        <xdr:cNvPr id="3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2843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228</xdr:row>
      <xdr:rowOff>228600</xdr:rowOff>
    </xdr:from>
    <xdr:to>
      <xdr:col>10</xdr:col>
      <xdr:colOff>260350</xdr:colOff>
      <xdr:row>228</xdr:row>
      <xdr:rowOff>447675</xdr:rowOff>
    </xdr:to>
    <xdr:pic>
      <xdr:nvPicPr>
        <xdr:cNvPr id="3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7284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228</xdr:row>
      <xdr:rowOff>231775</xdr:rowOff>
    </xdr:from>
    <xdr:to>
      <xdr:col>10</xdr:col>
      <xdr:colOff>539750</xdr:colOff>
      <xdr:row>228</xdr:row>
      <xdr:rowOff>450850</xdr:rowOff>
    </xdr:to>
    <xdr:pic>
      <xdr:nvPicPr>
        <xdr:cNvPr id="3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72843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228</xdr:row>
      <xdr:rowOff>228600</xdr:rowOff>
    </xdr:from>
    <xdr:to>
      <xdr:col>3</xdr:col>
      <xdr:colOff>260350</xdr:colOff>
      <xdr:row>228</xdr:row>
      <xdr:rowOff>447675</xdr:rowOff>
    </xdr:to>
    <xdr:pic>
      <xdr:nvPicPr>
        <xdr:cNvPr id="3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284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228</xdr:row>
      <xdr:rowOff>287804</xdr:rowOff>
    </xdr:from>
    <xdr:to>
      <xdr:col>3</xdr:col>
      <xdr:colOff>465044</xdr:colOff>
      <xdr:row>228</xdr:row>
      <xdr:rowOff>506879</xdr:rowOff>
    </xdr:to>
    <xdr:pic>
      <xdr:nvPicPr>
        <xdr:cNvPr id="3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728998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228</xdr:row>
      <xdr:rowOff>228600</xdr:rowOff>
    </xdr:from>
    <xdr:to>
      <xdr:col>10</xdr:col>
      <xdr:colOff>260350</xdr:colOff>
      <xdr:row>228</xdr:row>
      <xdr:rowOff>447675</xdr:rowOff>
    </xdr:to>
    <xdr:pic>
      <xdr:nvPicPr>
        <xdr:cNvPr id="3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7284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228</xdr:row>
      <xdr:rowOff>231775</xdr:rowOff>
    </xdr:from>
    <xdr:to>
      <xdr:col>10</xdr:col>
      <xdr:colOff>539750</xdr:colOff>
      <xdr:row>228</xdr:row>
      <xdr:rowOff>450850</xdr:rowOff>
    </xdr:to>
    <xdr:pic>
      <xdr:nvPicPr>
        <xdr:cNvPr id="3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72843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232</xdr:row>
      <xdr:rowOff>279400</xdr:rowOff>
    </xdr:from>
    <xdr:to>
      <xdr:col>10</xdr:col>
      <xdr:colOff>196850</xdr:colOff>
      <xdr:row>232</xdr:row>
      <xdr:rowOff>498475</xdr:rowOff>
    </xdr:to>
    <xdr:pic>
      <xdr:nvPicPr>
        <xdr:cNvPr id="3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58156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232</xdr:row>
      <xdr:rowOff>257175</xdr:rowOff>
    </xdr:from>
    <xdr:to>
      <xdr:col>10</xdr:col>
      <xdr:colOff>514350</xdr:colOff>
      <xdr:row>232</xdr:row>
      <xdr:rowOff>476250</xdr:rowOff>
    </xdr:to>
    <xdr:pic>
      <xdr:nvPicPr>
        <xdr:cNvPr id="3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5793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58156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5793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232</xdr:row>
      <xdr:rowOff>279400</xdr:rowOff>
    </xdr:from>
    <xdr:to>
      <xdr:col>3</xdr:col>
      <xdr:colOff>196850</xdr:colOff>
      <xdr:row>232</xdr:row>
      <xdr:rowOff>498475</xdr:rowOff>
    </xdr:to>
    <xdr:pic>
      <xdr:nvPicPr>
        <xdr:cNvPr id="3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5815625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232</xdr:row>
      <xdr:rowOff>257175</xdr:rowOff>
    </xdr:from>
    <xdr:to>
      <xdr:col>3</xdr:col>
      <xdr:colOff>514350</xdr:colOff>
      <xdr:row>232</xdr:row>
      <xdr:rowOff>476250</xdr:rowOff>
    </xdr:to>
    <xdr:pic>
      <xdr:nvPicPr>
        <xdr:cNvPr id="3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5793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4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237</xdr:row>
      <xdr:rowOff>257175</xdr:rowOff>
    </xdr:from>
    <xdr:to>
      <xdr:col>10</xdr:col>
      <xdr:colOff>514350</xdr:colOff>
      <xdr:row>237</xdr:row>
      <xdr:rowOff>476250</xdr:rowOff>
    </xdr:to>
    <xdr:pic>
      <xdr:nvPicPr>
        <xdr:cNvPr id="3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237</xdr:row>
      <xdr:rowOff>257175</xdr:rowOff>
    </xdr:from>
    <xdr:to>
      <xdr:col>3</xdr:col>
      <xdr:colOff>514350</xdr:colOff>
      <xdr:row>237</xdr:row>
      <xdr:rowOff>476250</xdr:rowOff>
    </xdr:to>
    <xdr:pic>
      <xdr:nvPicPr>
        <xdr:cNvPr id="3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79165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237</xdr:row>
      <xdr:rowOff>279400</xdr:rowOff>
    </xdr:from>
    <xdr:to>
      <xdr:col>10</xdr:col>
      <xdr:colOff>196850</xdr:colOff>
      <xdr:row>237</xdr:row>
      <xdr:rowOff>498475</xdr:rowOff>
    </xdr:to>
    <xdr:pic>
      <xdr:nvPicPr>
        <xdr:cNvPr id="3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237</xdr:row>
      <xdr:rowOff>279400</xdr:rowOff>
    </xdr:from>
    <xdr:to>
      <xdr:col>3</xdr:col>
      <xdr:colOff>196850</xdr:colOff>
      <xdr:row>237</xdr:row>
      <xdr:rowOff>498475</xdr:rowOff>
    </xdr:to>
    <xdr:pic>
      <xdr:nvPicPr>
        <xdr:cNvPr id="3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79187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913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3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913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3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7913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3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7913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913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3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913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913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34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7913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3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7913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34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7913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7913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237</xdr:row>
      <xdr:rowOff>287804</xdr:rowOff>
    </xdr:from>
    <xdr:to>
      <xdr:col>3</xdr:col>
      <xdr:colOff>465044</xdr:colOff>
      <xdr:row>237</xdr:row>
      <xdr:rowOff>506879</xdr:rowOff>
    </xdr:to>
    <xdr:pic>
      <xdr:nvPicPr>
        <xdr:cNvPr id="34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791958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3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7913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34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79139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241</xdr:row>
      <xdr:rowOff>279400</xdr:rowOff>
    </xdr:from>
    <xdr:to>
      <xdr:col>10</xdr:col>
      <xdr:colOff>196850</xdr:colOff>
      <xdr:row>241</xdr:row>
      <xdr:rowOff>498475</xdr:rowOff>
    </xdr:to>
    <xdr:pic>
      <xdr:nvPicPr>
        <xdr:cNvPr id="3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241</xdr:row>
      <xdr:rowOff>257175</xdr:rowOff>
    </xdr:from>
    <xdr:to>
      <xdr:col>10</xdr:col>
      <xdr:colOff>514350</xdr:colOff>
      <xdr:row>241</xdr:row>
      <xdr:rowOff>476250</xdr:rowOff>
    </xdr:to>
    <xdr:pic>
      <xdr:nvPicPr>
        <xdr:cNvPr id="3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241</xdr:row>
      <xdr:rowOff>279400</xdr:rowOff>
    </xdr:from>
    <xdr:to>
      <xdr:col>3</xdr:col>
      <xdr:colOff>196850</xdr:colOff>
      <xdr:row>241</xdr:row>
      <xdr:rowOff>498475</xdr:rowOff>
    </xdr:to>
    <xdr:pic>
      <xdr:nvPicPr>
        <xdr:cNvPr id="3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2302150"/>
          <a:ext cx="1905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241</xdr:row>
      <xdr:rowOff>257175</xdr:rowOff>
    </xdr:from>
    <xdr:to>
      <xdr:col>3</xdr:col>
      <xdr:colOff>514350</xdr:colOff>
      <xdr:row>241</xdr:row>
      <xdr:rowOff>476250</xdr:rowOff>
    </xdr:to>
    <xdr:pic>
      <xdr:nvPicPr>
        <xdr:cNvPr id="34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2279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4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246</xdr:row>
      <xdr:rowOff>257175</xdr:rowOff>
    </xdr:from>
    <xdr:to>
      <xdr:col>10</xdr:col>
      <xdr:colOff>514350</xdr:colOff>
      <xdr:row>246</xdr:row>
      <xdr:rowOff>476250</xdr:rowOff>
    </xdr:to>
    <xdr:pic>
      <xdr:nvPicPr>
        <xdr:cNvPr id="3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246</xdr:row>
      <xdr:rowOff>257175</xdr:rowOff>
    </xdr:from>
    <xdr:to>
      <xdr:col>3</xdr:col>
      <xdr:colOff>514350</xdr:colOff>
      <xdr:row>246</xdr:row>
      <xdr:rowOff>476250</xdr:rowOff>
    </xdr:to>
    <xdr:pic>
      <xdr:nvPicPr>
        <xdr:cNvPr id="3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628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246</xdr:row>
      <xdr:rowOff>279400</xdr:rowOff>
    </xdr:from>
    <xdr:to>
      <xdr:col>10</xdr:col>
      <xdr:colOff>196850</xdr:colOff>
      <xdr:row>246</xdr:row>
      <xdr:rowOff>498475</xdr:rowOff>
    </xdr:to>
    <xdr:pic>
      <xdr:nvPicPr>
        <xdr:cNvPr id="3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246</xdr:row>
      <xdr:rowOff>279400</xdr:rowOff>
    </xdr:from>
    <xdr:to>
      <xdr:col>3</xdr:col>
      <xdr:colOff>196850</xdr:colOff>
      <xdr:row>246</xdr:row>
      <xdr:rowOff>498475</xdr:rowOff>
    </xdr:to>
    <xdr:pic>
      <xdr:nvPicPr>
        <xdr:cNvPr id="3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631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62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3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62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3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862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3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862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62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3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62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62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246</xdr:row>
      <xdr:rowOff>231775</xdr:rowOff>
    </xdr:from>
    <xdr:to>
      <xdr:col>3</xdr:col>
      <xdr:colOff>539750</xdr:colOff>
      <xdr:row>246</xdr:row>
      <xdr:rowOff>450850</xdr:rowOff>
    </xdr:to>
    <xdr:pic>
      <xdr:nvPicPr>
        <xdr:cNvPr id="3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62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3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862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3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862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246</xdr:row>
      <xdr:rowOff>228600</xdr:rowOff>
    </xdr:from>
    <xdr:to>
      <xdr:col>3</xdr:col>
      <xdr:colOff>260350</xdr:colOff>
      <xdr:row>246</xdr:row>
      <xdr:rowOff>447675</xdr:rowOff>
    </xdr:to>
    <xdr:pic>
      <xdr:nvPicPr>
        <xdr:cNvPr id="3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62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246</xdr:row>
      <xdr:rowOff>287804</xdr:rowOff>
    </xdr:from>
    <xdr:to>
      <xdr:col>3</xdr:col>
      <xdr:colOff>465044</xdr:colOff>
      <xdr:row>246</xdr:row>
      <xdr:rowOff>506879</xdr:rowOff>
    </xdr:to>
    <xdr:pic>
      <xdr:nvPicPr>
        <xdr:cNvPr id="3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863205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246</xdr:row>
      <xdr:rowOff>228600</xdr:rowOff>
    </xdr:from>
    <xdr:to>
      <xdr:col>10</xdr:col>
      <xdr:colOff>260350</xdr:colOff>
      <xdr:row>246</xdr:row>
      <xdr:rowOff>447675</xdr:rowOff>
    </xdr:to>
    <xdr:pic>
      <xdr:nvPicPr>
        <xdr:cNvPr id="3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8626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246</xdr:row>
      <xdr:rowOff>231775</xdr:rowOff>
    </xdr:from>
    <xdr:to>
      <xdr:col>10</xdr:col>
      <xdr:colOff>539750</xdr:colOff>
      <xdr:row>246</xdr:row>
      <xdr:rowOff>450850</xdr:rowOff>
    </xdr:to>
    <xdr:pic>
      <xdr:nvPicPr>
        <xdr:cNvPr id="3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86264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6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6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6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7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7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7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7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251</xdr:row>
      <xdr:rowOff>257175</xdr:rowOff>
    </xdr:from>
    <xdr:to>
      <xdr:col>10</xdr:col>
      <xdr:colOff>514350</xdr:colOff>
      <xdr:row>251</xdr:row>
      <xdr:rowOff>476250</xdr:rowOff>
    </xdr:to>
    <xdr:pic>
      <xdr:nvPicPr>
        <xdr:cNvPr id="37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251</xdr:row>
      <xdr:rowOff>257175</xdr:rowOff>
    </xdr:from>
    <xdr:to>
      <xdr:col>3</xdr:col>
      <xdr:colOff>514350</xdr:colOff>
      <xdr:row>251</xdr:row>
      <xdr:rowOff>476250</xdr:rowOff>
    </xdr:to>
    <xdr:pic>
      <xdr:nvPicPr>
        <xdr:cNvPr id="37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8958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251</xdr:row>
      <xdr:rowOff>279400</xdr:rowOff>
    </xdr:from>
    <xdr:to>
      <xdr:col>10</xdr:col>
      <xdr:colOff>196850</xdr:colOff>
      <xdr:row>251</xdr:row>
      <xdr:rowOff>498475</xdr:rowOff>
    </xdr:to>
    <xdr:pic>
      <xdr:nvPicPr>
        <xdr:cNvPr id="3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251</xdr:row>
      <xdr:rowOff>279400</xdr:rowOff>
    </xdr:from>
    <xdr:to>
      <xdr:col>3</xdr:col>
      <xdr:colOff>196850</xdr:colOff>
      <xdr:row>251</xdr:row>
      <xdr:rowOff>498475</xdr:rowOff>
    </xdr:to>
    <xdr:pic>
      <xdr:nvPicPr>
        <xdr:cNvPr id="3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89607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3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955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37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956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3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8955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37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8956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3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955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37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956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3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955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37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8956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3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8955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37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8956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3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8955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251</xdr:row>
      <xdr:rowOff>287804</xdr:rowOff>
    </xdr:from>
    <xdr:to>
      <xdr:col>3</xdr:col>
      <xdr:colOff>465044</xdr:colOff>
      <xdr:row>251</xdr:row>
      <xdr:rowOff>506879</xdr:rowOff>
    </xdr:to>
    <xdr:pic>
      <xdr:nvPicPr>
        <xdr:cNvPr id="37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896162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3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89557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3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89560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7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7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8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8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8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9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256</xdr:row>
      <xdr:rowOff>257175</xdr:rowOff>
    </xdr:from>
    <xdr:to>
      <xdr:col>10</xdr:col>
      <xdr:colOff>514350</xdr:colOff>
      <xdr:row>256</xdr:row>
      <xdr:rowOff>476250</xdr:rowOff>
    </xdr:to>
    <xdr:pic>
      <xdr:nvPicPr>
        <xdr:cNvPr id="39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256</xdr:row>
      <xdr:rowOff>257175</xdr:rowOff>
    </xdr:from>
    <xdr:to>
      <xdr:col>3</xdr:col>
      <xdr:colOff>514350</xdr:colOff>
      <xdr:row>256</xdr:row>
      <xdr:rowOff>476250</xdr:rowOff>
    </xdr:to>
    <xdr:pic>
      <xdr:nvPicPr>
        <xdr:cNvPr id="39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373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256</xdr:row>
      <xdr:rowOff>279400</xdr:rowOff>
    </xdr:from>
    <xdr:to>
      <xdr:col>10</xdr:col>
      <xdr:colOff>196850</xdr:colOff>
      <xdr:row>256</xdr:row>
      <xdr:rowOff>498475</xdr:rowOff>
    </xdr:to>
    <xdr:pic>
      <xdr:nvPicPr>
        <xdr:cNvPr id="3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256</xdr:row>
      <xdr:rowOff>279400</xdr:rowOff>
    </xdr:from>
    <xdr:to>
      <xdr:col>3</xdr:col>
      <xdr:colOff>196850</xdr:colOff>
      <xdr:row>256</xdr:row>
      <xdr:rowOff>498475</xdr:rowOff>
    </xdr:to>
    <xdr:pic>
      <xdr:nvPicPr>
        <xdr:cNvPr id="3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3760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9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37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39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371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39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937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39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9371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9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37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39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371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9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37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39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371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39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937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39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9371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9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37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256</xdr:row>
      <xdr:rowOff>287804</xdr:rowOff>
    </xdr:from>
    <xdr:to>
      <xdr:col>3</xdr:col>
      <xdr:colOff>465044</xdr:colOff>
      <xdr:row>256</xdr:row>
      <xdr:rowOff>506879</xdr:rowOff>
    </xdr:to>
    <xdr:pic>
      <xdr:nvPicPr>
        <xdr:cNvPr id="39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937691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39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93709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39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93713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39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39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39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39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39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3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3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3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3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40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4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40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261</xdr:row>
      <xdr:rowOff>257175</xdr:rowOff>
    </xdr:from>
    <xdr:to>
      <xdr:col>10</xdr:col>
      <xdr:colOff>514350</xdr:colOff>
      <xdr:row>261</xdr:row>
      <xdr:rowOff>476250</xdr:rowOff>
    </xdr:to>
    <xdr:pic>
      <xdr:nvPicPr>
        <xdr:cNvPr id="4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261</xdr:row>
      <xdr:rowOff>257175</xdr:rowOff>
    </xdr:from>
    <xdr:to>
      <xdr:col>3</xdr:col>
      <xdr:colOff>514350</xdr:colOff>
      <xdr:row>261</xdr:row>
      <xdr:rowOff>476250</xdr:rowOff>
    </xdr:to>
    <xdr:pic>
      <xdr:nvPicPr>
        <xdr:cNvPr id="4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9700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261</xdr:row>
      <xdr:rowOff>279400</xdr:rowOff>
    </xdr:from>
    <xdr:to>
      <xdr:col>10</xdr:col>
      <xdr:colOff>196850</xdr:colOff>
      <xdr:row>261</xdr:row>
      <xdr:rowOff>498475</xdr:rowOff>
    </xdr:to>
    <xdr:pic>
      <xdr:nvPicPr>
        <xdr:cNvPr id="4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261</xdr:row>
      <xdr:rowOff>279400</xdr:rowOff>
    </xdr:from>
    <xdr:to>
      <xdr:col>3</xdr:col>
      <xdr:colOff>196850</xdr:colOff>
      <xdr:row>261</xdr:row>
      <xdr:rowOff>498475</xdr:rowOff>
    </xdr:to>
    <xdr:pic>
      <xdr:nvPicPr>
        <xdr:cNvPr id="4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9702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261</xdr:row>
      <xdr:rowOff>228600</xdr:rowOff>
    </xdr:from>
    <xdr:to>
      <xdr:col>3</xdr:col>
      <xdr:colOff>260350</xdr:colOff>
      <xdr:row>261</xdr:row>
      <xdr:rowOff>447675</xdr:rowOff>
    </xdr:to>
    <xdr:pic>
      <xdr:nvPicPr>
        <xdr:cNvPr id="4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697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261</xdr:row>
      <xdr:rowOff>231775</xdr:rowOff>
    </xdr:from>
    <xdr:to>
      <xdr:col>3</xdr:col>
      <xdr:colOff>539750</xdr:colOff>
      <xdr:row>261</xdr:row>
      <xdr:rowOff>450850</xdr:rowOff>
    </xdr:to>
    <xdr:pic>
      <xdr:nvPicPr>
        <xdr:cNvPr id="4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698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261</xdr:row>
      <xdr:rowOff>228600</xdr:rowOff>
    </xdr:from>
    <xdr:to>
      <xdr:col>10</xdr:col>
      <xdr:colOff>260350</xdr:colOff>
      <xdr:row>261</xdr:row>
      <xdr:rowOff>447675</xdr:rowOff>
    </xdr:to>
    <xdr:pic>
      <xdr:nvPicPr>
        <xdr:cNvPr id="4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9697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261</xdr:row>
      <xdr:rowOff>231775</xdr:rowOff>
    </xdr:from>
    <xdr:to>
      <xdr:col>10</xdr:col>
      <xdr:colOff>539750</xdr:colOff>
      <xdr:row>261</xdr:row>
      <xdr:rowOff>450850</xdr:rowOff>
    </xdr:to>
    <xdr:pic>
      <xdr:nvPicPr>
        <xdr:cNvPr id="4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9698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261</xdr:row>
      <xdr:rowOff>228600</xdr:rowOff>
    </xdr:from>
    <xdr:to>
      <xdr:col>3</xdr:col>
      <xdr:colOff>260350</xdr:colOff>
      <xdr:row>261</xdr:row>
      <xdr:rowOff>447675</xdr:rowOff>
    </xdr:to>
    <xdr:pic>
      <xdr:nvPicPr>
        <xdr:cNvPr id="4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697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261</xdr:row>
      <xdr:rowOff>231775</xdr:rowOff>
    </xdr:from>
    <xdr:to>
      <xdr:col>3</xdr:col>
      <xdr:colOff>539750</xdr:colOff>
      <xdr:row>261</xdr:row>
      <xdr:rowOff>450850</xdr:rowOff>
    </xdr:to>
    <xdr:pic>
      <xdr:nvPicPr>
        <xdr:cNvPr id="4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698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261</xdr:row>
      <xdr:rowOff>228600</xdr:rowOff>
    </xdr:from>
    <xdr:to>
      <xdr:col>3</xdr:col>
      <xdr:colOff>260350</xdr:colOff>
      <xdr:row>261</xdr:row>
      <xdr:rowOff>447675</xdr:rowOff>
    </xdr:to>
    <xdr:pic>
      <xdr:nvPicPr>
        <xdr:cNvPr id="4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697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261</xdr:row>
      <xdr:rowOff>231775</xdr:rowOff>
    </xdr:from>
    <xdr:to>
      <xdr:col>3</xdr:col>
      <xdr:colOff>539750</xdr:colOff>
      <xdr:row>261</xdr:row>
      <xdr:rowOff>450850</xdr:rowOff>
    </xdr:to>
    <xdr:pic>
      <xdr:nvPicPr>
        <xdr:cNvPr id="4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19698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261</xdr:row>
      <xdr:rowOff>228600</xdr:rowOff>
    </xdr:from>
    <xdr:to>
      <xdr:col>10</xdr:col>
      <xdr:colOff>260350</xdr:colOff>
      <xdr:row>261</xdr:row>
      <xdr:rowOff>447675</xdr:rowOff>
    </xdr:to>
    <xdr:pic>
      <xdr:nvPicPr>
        <xdr:cNvPr id="4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9697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261</xdr:row>
      <xdr:rowOff>231775</xdr:rowOff>
    </xdr:from>
    <xdr:to>
      <xdr:col>10</xdr:col>
      <xdr:colOff>539750</xdr:colOff>
      <xdr:row>261</xdr:row>
      <xdr:rowOff>450850</xdr:rowOff>
    </xdr:to>
    <xdr:pic>
      <xdr:nvPicPr>
        <xdr:cNvPr id="4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9698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261</xdr:row>
      <xdr:rowOff>228600</xdr:rowOff>
    </xdr:from>
    <xdr:to>
      <xdr:col>3</xdr:col>
      <xdr:colOff>260350</xdr:colOff>
      <xdr:row>261</xdr:row>
      <xdr:rowOff>447675</xdr:rowOff>
    </xdr:to>
    <xdr:pic>
      <xdr:nvPicPr>
        <xdr:cNvPr id="4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19697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261</xdr:row>
      <xdr:rowOff>287804</xdr:rowOff>
    </xdr:from>
    <xdr:to>
      <xdr:col>3</xdr:col>
      <xdr:colOff>465044</xdr:colOff>
      <xdr:row>261</xdr:row>
      <xdr:rowOff>506879</xdr:rowOff>
    </xdr:to>
    <xdr:pic>
      <xdr:nvPicPr>
        <xdr:cNvPr id="4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1970362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261</xdr:row>
      <xdr:rowOff>228600</xdr:rowOff>
    </xdr:from>
    <xdr:to>
      <xdr:col>10</xdr:col>
      <xdr:colOff>260350</xdr:colOff>
      <xdr:row>261</xdr:row>
      <xdr:rowOff>447675</xdr:rowOff>
    </xdr:to>
    <xdr:pic>
      <xdr:nvPicPr>
        <xdr:cNvPr id="4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196977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261</xdr:row>
      <xdr:rowOff>231775</xdr:rowOff>
    </xdr:from>
    <xdr:to>
      <xdr:col>10</xdr:col>
      <xdr:colOff>539750</xdr:colOff>
      <xdr:row>261</xdr:row>
      <xdr:rowOff>450850</xdr:rowOff>
    </xdr:to>
    <xdr:pic>
      <xdr:nvPicPr>
        <xdr:cNvPr id="4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19698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266</xdr:row>
      <xdr:rowOff>257175</xdr:rowOff>
    </xdr:from>
    <xdr:to>
      <xdr:col>10</xdr:col>
      <xdr:colOff>514350</xdr:colOff>
      <xdr:row>266</xdr:row>
      <xdr:rowOff>476250</xdr:rowOff>
    </xdr:to>
    <xdr:pic>
      <xdr:nvPicPr>
        <xdr:cNvPr id="4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266</xdr:row>
      <xdr:rowOff>257175</xdr:rowOff>
    </xdr:from>
    <xdr:to>
      <xdr:col>3</xdr:col>
      <xdr:colOff>514350</xdr:colOff>
      <xdr:row>266</xdr:row>
      <xdr:rowOff>476250</xdr:rowOff>
    </xdr:to>
    <xdr:pic>
      <xdr:nvPicPr>
        <xdr:cNvPr id="4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1215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266</xdr:row>
      <xdr:rowOff>279400</xdr:rowOff>
    </xdr:from>
    <xdr:to>
      <xdr:col>10</xdr:col>
      <xdr:colOff>196850</xdr:colOff>
      <xdr:row>266</xdr:row>
      <xdr:rowOff>498475</xdr:rowOff>
    </xdr:to>
    <xdr:pic>
      <xdr:nvPicPr>
        <xdr:cNvPr id="4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266</xdr:row>
      <xdr:rowOff>279400</xdr:rowOff>
    </xdr:from>
    <xdr:to>
      <xdr:col>3</xdr:col>
      <xdr:colOff>196850</xdr:colOff>
      <xdr:row>266</xdr:row>
      <xdr:rowOff>498475</xdr:rowOff>
    </xdr:to>
    <xdr:pic>
      <xdr:nvPicPr>
        <xdr:cNvPr id="4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123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4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118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266</xdr:row>
      <xdr:rowOff>231775</xdr:rowOff>
    </xdr:from>
    <xdr:to>
      <xdr:col>3</xdr:col>
      <xdr:colOff>539750</xdr:colOff>
      <xdr:row>266</xdr:row>
      <xdr:rowOff>450850</xdr:rowOff>
    </xdr:to>
    <xdr:pic>
      <xdr:nvPicPr>
        <xdr:cNvPr id="4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119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266</xdr:row>
      <xdr:rowOff>228600</xdr:rowOff>
    </xdr:from>
    <xdr:to>
      <xdr:col>10</xdr:col>
      <xdr:colOff>260350</xdr:colOff>
      <xdr:row>266</xdr:row>
      <xdr:rowOff>447675</xdr:rowOff>
    </xdr:to>
    <xdr:pic>
      <xdr:nvPicPr>
        <xdr:cNvPr id="4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118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266</xdr:row>
      <xdr:rowOff>231775</xdr:rowOff>
    </xdr:from>
    <xdr:to>
      <xdr:col>10</xdr:col>
      <xdr:colOff>539750</xdr:colOff>
      <xdr:row>266</xdr:row>
      <xdr:rowOff>450850</xdr:rowOff>
    </xdr:to>
    <xdr:pic>
      <xdr:nvPicPr>
        <xdr:cNvPr id="4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119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4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118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266</xdr:row>
      <xdr:rowOff>231775</xdr:rowOff>
    </xdr:from>
    <xdr:to>
      <xdr:col>3</xdr:col>
      <xdr:colOff>539750</xdr:colOff>
      <xdr:row>266</xdr:row>
      <xdr:rowOff>450850</xdr:rowOff>
    </xdr:to>
    <xdr:pic>
      <xdr:nvPicPr>
        <xdr:cNvPr id="4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119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4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118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266</xdr:row>
      <xdr:rowOff>231775</xdr:rowOff>
    </xdr:from>
    <xdr:to>
      <xdr:col>3</xdr:col>
      <xdr:colOff>539750</xdr:colOff>
      <xdr:row>266</xdr:row>
      <xdr:rowOff>450850</xdr:rowOff>
    </xdr:to>
    <xdr:pic>
      <xdr:nvPicPr>
        <xdr:cNvPr id="4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119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266</xdr:row>
      <xdr:rowOff>228600</xdr:rowOff>
    </xdr:from>
    <xdr:to>
      <xdr:col>10</xdr:col>
      <xdr:colOff>260350</xdr:colOff>
      <xdr:row>266</xdr:row>
      <xdr:rowOff>447675</xdr:rowOff>
    </xdr:to>
    <xdr:pic>
      <xdr:nvPicPr>
        <xdr:cNvPr id="4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118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266</xdr:row>
      <xdr:rowOff>231775</xdr:rowOff>
    </xdr:from>
    <xdr:to>
      <xdr:col>10</xdr:col>
      <xdr:colOff>539750</xdr:colOff>
      <xdr:row>266</xdr:row>
      <xdr:rowOff>450850</xdr:rowOff>
    </xdr:to>
    <xdr:pic>
      <xdr:nvPicPr>
        <xdr:cNvPr id="4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119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266</xdr:row>
      <xdr:rowOff>228600</xdr:rowOff>
    </xdr:from>
    <xdr:to>
      <xdr:col>3</xdr:col>
      <xdr:colOff>260350</xdr:colOff>
      <xdr:row>266</xdr:row>
      <xdr:rowOff>447675</xdr:rowOff>
    </xdr:to>
    <xdr:pic>
      <xdr:nvPicPr>
        <xdr:cNvPr id="4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118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266</xdr:row>
      <xdr:rowOff>287804</xdr:rowOff>
    </xdr:from>
    <xdr:to>
      <xdr:col>3</xdr:col>
      <xdr:colOff>465044</xdr:colOff>
      <xdr:row>266</xdr:row>
      <xdr:rowOff>506879</xdr:rowOff>
    </xdr:to>
    <xdr:pic>
      <xdr:nvPicPr>
        <xdr:cNvPr id="4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012462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266</xdr:row>
      <xdr:rowOff>228600</xdr:rowOff>
    </xdr:from>
    <xdr:to>
      <xdr:col>10</xdr:col>
      <xdr:colOff>260350</xdr:colOff>
      <xdr:row>266</xdr:row>
      <xdr:rowOff>447675</xdr:rowOff>
    </xdr:to>
    <xdr:pic>
      <xdr:nvPicPr>
        <xdr:cNvPr id="4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118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266</xdr:row>
      <xdr:rowOff>231775</xdr:rowOff>
    </xdr:from>
    <xdr:to>
      <xdr:col>10</xdr:col>
      <xdr:colOff>539750</xdr:colOff>
      <xdr:row>266</xdr:row>
      <xdr:rowOff>450850</xdr:rowOff>
    </xdr:to>
    <xdr:pic>
      <xdr:nvPicPr>
        <xdr:cNvPr id="4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119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2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2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2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271</xdr:row>
      <xdr:rowOff>257175</xdr:rowOff>
    </xdr:from>
    <xdr:to>
      <xdr:col>10</xdr:col>
      <xdr:colOff>514350</xdr:colOff>
      <xdr:row>271</xdr:row>
      <xdr:rowOff>476250</xdr:rowOff>
    </xdr:to>
    <xdr:pic>
      <xdr:nvPicPr>
        <xdr:cNvPr id="4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271</xdr:row>
      <xdr:rowOff>257175</xdr:rowOff>
    </xdr:from>
    <xdr:to>
      <xdr:col>3</xdr:col>
      <xdr:colOff>514350</xdr:colOff>
      <xdr:row>271</xdr:row>
      <xdr:rowOff>476250</xdr:rowOff>
    </xdr:to>
    <xdr:pic>
      <xdr:nvPicPr>
        <xdr:cNvPr id="4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455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271</xdr:row>
      <xdr:rowOff>279400</xdr:rowOff>
    </xdr:from>
    <xdr:to>
      <xdr:col>10</xdr:col>
      <xdr:colOff>196850</xdr:colOff>
      <xdr:row>271</xdr:row>
      <xdr:rowOff>498475</xdr:rowOff>
    </xdr:to>
    <xdr:pic>
      <xdr:nvPicPr>
        <xdr:cNvPr id="4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271</xdr:row>
      <xdr:rowOff>279400</xdr:rowOff>
    </xdr:from>
    <xdr:to>
      <xdr:col>3</xdr:col>
      <xdr:colOff>196850</xdr:colOff>
      <xdr:row>271</xdr:row>
      <xdr:rowOff>498475</xdr:rowOff>
    </xdr:to>
    <xdr:pic>
      <xdr:nvPicPr>
        <xdr:cNvPr id="4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4581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4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53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271</xdr:row>
      <xdr:rowOff>231775</xdr:rowOff>
    </xdr:from>
    <xdr:to>
      <xdr:col>3</xdr:col>
      <xdr:colOff>539750</xdr:colOff>
      <xdr:row>271</xdr:row>
      <xdr:rowOff>450850</xdr:rowOff>
    </xdr:to>
    <xdr:pic>
      <xdr:nvPicPr>
        <xdr:cNvPr id="4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53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271</xdr:row>
      <xdr:rowOff>228600</xdr:rowOff>
    </xdr:from>
    <xdr:to>
      <xdr:col>10</xdr:col>
      <xdr:colOff>260350</xdr:colOff>
      <xdr:row>271</xdr:row>
      <xdr:rowOff>447675</xdr:rowOff>
    </xdr:to>
    <xdr:pic>
      <xdr:nvPicPr>
        <xdr:cNvPr id="4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453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271</xdr:row>
      <xdr:rowOff>231775</xdr:rowOff>
    </xdr:from>
    <xdr:to>
      <xdr:col>10</xdr:col>
      <xdr:colOff>539750</xdr:colOff>
      <xdr:row>271</xdr:row>
      <xdr:rowOff>450850</xdr:rowOff>
    </xdr:to>
    <xdr:pic>
      <xdr:nvPicPr>
        <xdr:cNvPr id="4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453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4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53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271</xdr:row>
      <xdr:rowOff>231775</xdr:rowOff>
    </xdr:from>
    <xdr:to>
      <xdr:col>3</xdr:col>
      <xdr:colOff>539750</xdr:colOff>
      <xdr:row>271</xdr:row>
      <xdr:rowOff>450850</xdr:rowOff>
    </xdr:to>
    <xdr:pic>
      <xdr:nvPicPr>
        <xdr:cNvPr id="4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53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4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53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271</xdr:row>
      <xdr:rowOff>231775</xdr:rowOff>
    </xdr:from>
    <xdr:to>
      <xdr:col>3</xdr:col>
      <xdr:colOff>539750</xdr:colOff>
      <xdr:row>271</xdr:row>
      <xdr:rowOff>450850</xdr:rowOff>
    </xdr:to>
    <xdr:pic>
      <xdr:nvPicPr>
        <xdr:cNvPr id="4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453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271</xdr:row>
      <xdr:rowOff>228600</xdr:rowOff>
    </xdr:from>
    <xdr:to>
      <xdr:col>10</xdr:col>
      <xdr:colOff>260350</xdr:colOff>
      <xdr:row>271</xdr:row>
      <xdr:rowOff>447675</xdr:rowOff>
    </xdr:to>
    <xdr:pic>
      <xdr:nvPicPr>
        <xdr:cNvPr id="4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453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271</xdr:row>
      <xdr:rowOff>231775</xdr:rowOff>
    </xdr:from>
    <xdr:to>
      <xdr:col>10</xdr:col>
      <xdr:colOff>539750</xdr:colOff>
      <xdr:row>271</xdr:row>
      <xdr:rowOff>450850</xdr:rowOff>
    </xdr:to>
    <xdr:pic>
      <xdr:nvPicPr>
        <xdr:cNvPr id="4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453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4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453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271</xdr:row>
      <xdr:rowOff>287804</xdr:rowOff>
    </xdr:from>
    <xdr:to>
      <xdr:col>3</xdr:col>
      <xdr:colOff>465044</xdr:colOff>
      <xdr:row>271</xdr:row>
      <xdr:rowOff>506879</xdr:rowOff>
    </xdr:to>
    <xdr:pic>
      <xdr:nvPicPr>
        <xdr:cNvPr id="4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045895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271</xdr:row>
      <xdr:rowOff>228600</xdr:rowOff>
    </xdr:from>
    <xdr:to>
      <xdr:col>10</xdr:col>
      <xdr:colOff>260350</xdr:colOff>
      <xdr:row>271</xdr:row>
      <xdr:rowOff>447675</xdr:rowOff>
    </xdr:to>
    <xdr:pic>
      <xdr:nvPicPr>
        <xdr:cNvPr id="4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453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271</xdr:row>
      <xdr:rowOff>231775</xdr:rowOff>
    </xdr:from>
    <xdr:to>
      <xdr:col>10</xdr:col>
      <xdr:colOff>539750</xdr:colOff>
      <xdr:row>271</xdr:row>
      <xdr:rowOff>450850</xdr:rowOff>
    </xdr:to>
    <xdr:pic>
      <xdr:nvPicPr>
        <xdr:cNvPr id="4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453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54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854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54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54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276</xdr:row>
      <xdr:rowOff>257175</xdr:rowOff>
    </xdr:from>
    <xdr:to>
      <xdr:col>10</xdr:col>
      <xdr:colOff>514350</xdr:colOff>
      <xdr:row>276</xdr:row>
      <xdr:rowOff>476250</xdr:rowOff>
    </xdr:to>
    <xdr:pic>
      <xdr:nvPicPr>
        <xdr:cNvPr id="4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0854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276</xdr:row>
      <xdr:rowOff>257175</xdr:rowOff>
    </xdr:from>
    <xdr:to>
      <xdr:col>3</xdr:col>
      <xdr:colOff>514350</xdr:colOff>
      <xdr:row>276</xdr:row>
      <xdr:rowOff>476250</xdr:rowOff>
    </xdr:to>
    <xdr:pic>
      <xdr:nvPicPr>
        <xdr:cNvPr id="4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0854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276</xdr:row>
      <xdr:rowOff>279400</xdr:rowOff>
    </xdr:from>
    <xdr:to>
      <xdr:col>10</xdr:col>
      <xdr:colOff>196850</xdr:colOff>
      <xdr:row>276</xdr:row>
      <xdr:rowOff>498475</xdr:rowOff>
    </xdr:to>
    <xdr:pic>
      <xdr:nvPicPr>
        <xdr:cNvPr id="4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276</xdr:row>
      <xdr:rowOff>279400</xdr:rowOff>
    </xdr:from>
    <xdr:to>
      <xdr:col>3</xdr:col>
      <xdr:colOff>196850</xdr:colOff>
      <xdr:row>276</xdr:row>
      <xdr:rowOff>498475</xdr:rowOff>
    </xdr:to>
    <xdr:pic>
      <xdr:nvPicPr>
        <xdr:cNvPr id="4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08562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4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851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4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851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4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851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4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851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4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851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44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851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4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851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4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851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4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851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4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851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4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0851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4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0851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4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0851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44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0851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5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280</xdr:row>
      <xdr:rowOff>257175</xdr:rowOff>
    </xdr:from>
    <xdr:to>
      <xdr:col>10</xdr:col>
      <xdr:colOff>514350</xdr:colOff>
      <xdr:row>280</xdr:row>
      <xdr:rowOff>476250</xdr:rowOff>
    </xdr:to>
    <xdr:pic>
      <xdr:nvPicPr>
        <xdr:cNvPr id="4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280</xdr:row>
      <xdr:rowOff>257175</xdr:rowOff>
    </xdr:from>
    <xdr:to>
      <xdr:col>3</xdr:col>
      <xdr:colOff>514350</xdr:colOff>
      <xdr:row>280</xdr:row>
      <xdr:rowOff>476250</xdr:rowOff>
    </xdr:to>
    <xdr:pic>
      <xdr:nvPicPr>
        <xdr:cNvPr id="4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142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280</xdr:row>
      <xdr:rowOff>279400</xdr:rowOff>
    </xdr:from>
    <xdr:to>
      <xdr:col>10</xdr:col>
      <xdr:colOff>196850</xdr:colOff>
      <xdr:row>280</xdr:row>
      <xdr:rowOff>498475</xdr:rowOff>
    </xdr:to>
    <xdr:pic>
      <xdr:nvPicPr>
        <xdr:cNvPr id="4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280</xdr:row>
      <xdr:rowOff>279400</xdr:rowOff>
    </xdr:from>
    <xdr:to>
      <xdr:col>3</xdr:col>
      <xdr:colOff>196850</xdr:colOff>
      <xdr:row>280</xdr:row>
      <xdr:rowOff>498475</xdr:rowOff>
    </xdr:to>
    <xdr:pic>
      <xdr:nvPicPr>
        <xdr:cNvPr id="4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144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4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139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4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140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4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1139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46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1140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4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139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46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140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4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139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46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140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4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1139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46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1140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4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139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280</xdr:row>
      <xdr:rowOff>287804</xdr:rowOff>
    </xdr:from>
    <xdr:to>
      <xdr:col>3</xdr:col>
      <xdr:colOff>465044</xdr:colOff>
      <xdr:row>280</xdr:row>
      <xdr:rowOff>506879</xdr:rowOff>
    </xdr:to>
    <xdr:pic>
      <xdr:nvPicPr>
        <xdr:cNvPr id="46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1145705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4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11397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46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11401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288</xdr:row>
      <xdr:rowOff>257175</xdr:rowOff>
    </xdr:from>
    <xdr:to>
      <xdr:col>3</xdr:col>
      <xdr:colOff>514350</xdr:colOff>
      <xdr:row>288</xdr:row>
      <xdr:rowOff>476250</xdr:rowOff>
    </xdr:to>
    <xdr:pic>
      <xdr:nvPicPr>
        <xdr:cNvPr id="46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836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288</xdr:row>
      <xdr:rowOff>257175</xdr:rowOff>
    </xdr:from>
    <xdr:to>
      <xdr:col>10</xdr:col>
      <xdr:colOff>514350</xdr:colOff>
      <xdr:row>288</xdr:row>
      <xdr:rowOff>476250</xdr:rowOff>
    </xdr:to>
    <xdr:pic>
      <xdr:nvPicPr>
        <xdr:cNvPr id="46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836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288</xdr:row>
      <xdr:rowOff>257175</xdr:rowOff>
    </xdr:from>
    <xdr:to>
      <xdr:col>3</xdr:col>
      <xdr:colOff>514350</xdr:colOff>
      <xdr:row>288</xdr:row>
      <xdr:rowOff>476250</xdr:rowOff>
    </xdr:to>
    <xdr:pic>
      <xdr:nvPicPr>
        <xdr:cNvPr id="46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836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288</xdr:row>
      <xdr:rowOff>257175</xdr:rowOff>
    </xdr:from>
    <xdr:to>
      <xdr:col>3</xdr:col>
      <xdr:colOff>514350</xdr:colOff>
      <xdr:row>288</xdr:row>
      <xdr:rowOff>476250</xdr:rowOff>
    </xdr:to>
    <xdr:pic>
      <xdr:nvPicPr>
        <xdr:cNvPr id="4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836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288</xdr:row>
      <xdr:rowOff>257175</xdr:rowOff>
    </xdr:from>
    <xdr:to>
      <xdr:col>10</xdr:col>
      <xdr:colOff>514350</xdr:colOff>
      <xdr:row>288</xdr:row>
      <xdr:rowOff>476250</xdr:rowOff>
    </xdr:to>
    <xdr:pic>
      <xdr:nvPicPr>
        <xdr:cNvPr id="4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1836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288</xdr:row>
      <xdr:rowOff>257175</xdr:rowOff>
    </xdr:from>
    <xdr:to>
      <xdr:col>3</xdr:col>
      <xdr:colOff>514350</xdr:colOff>
      <xdr:row>288</xdr:row>
      <xdr:rowOff>476250</xdr:rowOff>
    </xdr:to>
    <xdr:pic>
      <xdr:nvPicPr>
        <xdr:cNvPr id="4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18360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288</xdr:row>
      <xdr:rowOff>279400</xdr:rowOff>
    </xdr:from>
    <xdr:to>
      <xdr:col>10</xdr:col>
      <xdr:colOff>196850</xdr:colOff>
      <xdr:row>288</xdr:row>
      <xdr:rowOff>498475</xdr:rowOff>
    </xdr:to>
    <xdr:pic>
      <xdr:nvPicPr>
        <xdr:cNvPr id="4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288</xdr:row>
      <xdr:rowOff>279400</xdr:rowOff>
    </xdr:from>
    <xdr:to>
      <xdr:col>3</xdr:col>
      <xdr:colOff>196850</xdr:colOff>
      <xdr:row>288</xdr:row>
      <xdr:rowOff>498475</xdr:rowOff>
    </xdr:to>
    <xdr:pic>
      <xdr:nvPicPr>
        <xdr:cNvPr id="4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18382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4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833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46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833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4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1833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46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1833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4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833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46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833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4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833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46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833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4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1833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4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1833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4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1833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4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1833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4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1833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46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18335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6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6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6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6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7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7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7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7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8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8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8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8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48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48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142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4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4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144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4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139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48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140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4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2139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48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2140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4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139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48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140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4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139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293</xdr:row>
      <xdr:rowOff>231775</xdr:rowOff>
    </xdr:from>
    <xdr:to>
      <xdr:col>3</xdr:col>
      <xdr:colOff>539750</xdr:colOff>
      <xdr:row>293</xdr:row>
      <xdr:rowOff>450850</xdr:rowOff>
    </xdr:to>
    <xdr:pic>
      <xdr:nvPicPr>
        <xdr:cNvPr id="48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140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4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2139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48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2140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293</xdr:row>
      <xdr:rowOff>228600</xdr:rowOff>
    </xdr:from>
    <xdr:to>
      <xdr:col>3</xdr:col>
      <xdr:colOff>260350</xdr:colOff>
      <xdr:row>293</xdr:row>
      <xdr:rowOff>447675</xdr:rowOff>
    </xdr:to>
    <xdr:pic>
      <xdr:nvPicPr>
        <xdr:cNvPr id="4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139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293</xdr:row>
      <xdr:rowOff>287804</xdr:rowOff>
    </xdr:from>
    <xdr:to>
      <xdr:col>3</xdr:col>
      <xdr:colOff>465044</xdr:colOff>
      <xdr:row>293</xdr:row>
      <xdr:rowOff>506879</xdr:rowOff>
    </xdr:to>
    <xdr:pic>
      <xdr:nvPicPr>
        <xdr:cNvPr id="48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21458304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293</xdr:row>
      <xdr:rowOff>228600</xdr:rowOff>
    </xdr:from>
    <xdr:to>
      <xdr:col>10</xdr:col>
      <xdr:colOff>260350</xdr:colOff>
      <xdr:row>293</xdr:row>
      <xdr:rowOff>447675</xdr:rowOff>
    </xdr:to>
    <xdr:pic>
      <xdr:nvPicPr>
        <xdr:cNvPr id="4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21399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293</xdr:row>
      <xdr:rowOff>231775</xdr:rowOff>
    </xdr:from>
    <xdr:to>
      <xdr:col>10</xdr:col>
      <xdr:colOff>539750</xdr:colOff>
      <xdr:row>293</xdr:row>
      <xdr:rowOff>450850</xdr:rowOff>
    </xdr:to>
    <xdr:pic>
      <xdr:nvPicPr>
        <xdr:cNvPr id="4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21402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301</xdr:row>
      <xdr:rowOff>257175</xdr:rowOff>
    </xdr:from>
    <xdr:to>
      <xdr:col>3</xdr:col>
      <xdr:colOff>514350</xdr:colOff>
      <xdr:row>301</xdr:row>
      <xdr:rowOff>476250</xdr:rowOff>
    </xdr:to>
    <xdr:pic>
      <xdr:nvPicPr>
        <xdr:cNvPr id="4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218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301</xdr:row>
      <xdr:rowOff>257175</xdr:rowOff>
    </xdr:from>
    <xdr:to>
      <xdr:col>10</xdr:col>
      <xdr:colOff>514350</xdr:colOff>
      <xdr:row>301</xdr:row>
      <xdr:rowOff>476250</xdr:rowOff>
    </xdr:to>
    <xdr:pic>
      <xdr:nvPicPr>
        <xdr:cNvPr id="4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7218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301</xdr:row>
      <xdr:rowOff>257175</xdr:rowOff>
    </xdr:from>
    <xdr:to>
      <xdr:col>3</xdr:col>
      <xdr:colOff>514350</xdr:colOff>
      <xdr:row>301</xdr:row>
      <xdr:rowOff>476250</xdr:rowOff>
    </xdr:to>
    <xdr:pic>
      <xdr:nvPicPr>
        <xdr:cNvPr id="48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218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301</xdr:row>
      <xdr:rowOff>257175</xdr:rowOff>
    </xdr:from>
    <xdr:to>
      <xdr:col>3</xdr:col>
      <xdr:colOff>514350</xdr:colOff>
      <xdr:row>301</xdr:row>
      <xdr:rowOff>476250</xdr:rowOff>
    </xdr:to>
    <xdr:pic>
      <xdr:nvPicPr>
        <xdr:cNvPr id="48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218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301</xdr:row>
      <xdr:rowOff>257175</xdr:rowOff>
    </xdr:from>
    <xdr:to>
      <xdr:col>10</xdr:col>
      <xdr:colOff>514350</xdr:colOff>
      <xdr:row>301</xdr:row>
      <xdr:rowOff>476250</xdr:rowOff>
    </xdr:to>
    <xdr:pic>
      <xdr:nvPicPr>
        <xdr:cNvPr id="48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27218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301</xdr:row>
      <xdr:rowOff>257175</xdr:rowOff>
    </xdr:from>
    <xdr:to>
      <xdr:col>3</xdr:col>
      <xdr:colOff>514350</xdr:colOff>
      <xdr:row>301</xdr:row>
      <xdr:rowOff>476250</xdr:rowOff>
    </xdr:to>
    <xdr:pic>
      <xdr:nvPicPr>
        <xdr:cNvPr id="48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27218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301</xdr:row>
      <xdr:rowOff>279400</xdr:rowOff>
    </xdr:from>
    <xdr:to>
      <xdr:col>10</xdr:col>
      <xdr:colOff>196850</xdr:colOff>
      <xdr:row>301</xdr:row>
      <xdr:rowOff>498475</xdr:rowOff>
    </xdr:to>
    <xdr:pic>
      <xdr:nvPicPr>
        <xdr:cNvPr id="4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301</xdr:row>
      <xdr:rowOff>279400</xdr:rowOff>
    </xdr:from>
    <xdr:to>
      <xdr:col>3</xdr:col>
      <xdr:colOff>196850</xdr:colOff>
      <xdr:row>301</xdr:row>
      <xdr:rowOff>498475</xdr:rowOff>
    </xdr:to>
    <xdr:pic>
      <xdr:nvPicPr>
        <xdr:cNvPr id="4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27241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4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719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301</xdr:row>
      <xdr:rowOff>231775</xdr:rowOff>
    </xdr:from>
    <xdr:to>
      <xdr:col>3</xdr:col>
      <xdr:colOff>539750</xdr:colOff>
      <xdr:row>301</xdr:row>
      <xdr:rowOff>450850</xdr:rowOff>
    </xdr:to>
    <xdr:pic>
      <xdr:nvPicPr>
        <xdr:cNvPr id="48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7193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48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2719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301</xdr:row>
      <xdr:rowOff>231775</xdr:rowOff>
    </xdr:from>
    <xdr:to>
      <xdr:col>10</xdr:col>
      <xdr:colOff>539750</xdr:colOff>
      <xdr:row>301</xdr:row>
      <xdr:rowOff>450850</xdr:rowOff>
    </xdr:to>
    <xdr:pic>
      <xdr:nvPicPr>
        <xdr:cNvPr id="48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27193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48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719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301</xdr:row>
      <xdr:rowOff>231775</xdr:rowOff>
    </xdr:from>
    <xdr:to>
      <xdr:col>3</xdr:col>
      <xdr:colOff>539750</xdr:colOff>
      <xdr:row>301</xdr:row>
      <xdr:rowOff>450850</xdr:rowOff>
    </xdr:to>
    <xdr:pic>
      <xdr:nvPicPr>
        <xdr:cNvPr id="48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7193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48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719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301</xdr:row>
      <xdr:rowOff>231775</xdr:rowOff>
    </xdr:from>
    <xdr:to>
      <xdr:col>3</xdr:col>
      <xdr:colOff>539750</xdr:colOff>
      <xdr:row>301</xdr:row>
      <xdr:rowOff>450850</xdr:rowOff>
    </xdr:to>
    <xdr:pic>
      <xdr:nvPicPr>
        <xdr:cNvPr id="48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7193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4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2719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301</xdr:row>
      <xdr:rowOff>231775</xdr:rowOff>
    </xdr:from>
    <xdr:to>
      <xdr:col>10</xdr:col>
      <xdr:colOff>539750</xdr:colOff>
      <xdr:row>301</xdr:row>
      <xdr:rowOff>450850</xdr:rowOff>
    </xdr:to>
    <xdr:pic>
      <xdr:nvPicPr>
        <xdr:cNvPr id="48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27193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301</xdr:row>
      <xdr:rowOff>228600</xdr:rowOff>
    </xdr:from>
    <xdr:to>
      <xdr:col>3</xdr:col>
      <xdr:colOff>260350</xdr:colOff>
      <xdr:row>301</xdr:row>
      <xdr:rowOff>447675</xdr:rowOff>
    </xdr:to>
    <xdr:pic>
      <xdr:nvPicPr>
        <xdr:cNvPr id="4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2719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301</xdr:row>
      <xdr:rowOff>231775</xdr:rowOff>
    </xdr:from>
    <xdr:to>
      <xdr:col>3</xdr:col>
      <xdr:colOff>539750</xdr:colOff>
      <xdr:row>301</xdr:row>
      <xdr:rowOff>450850</xdr:rowOff>
    </xdr:to>
    <xdr:pic>
      <xdr:nvPicPr>
        <xdr:cNvPr id="48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27193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301</xdr:row>
      <xdr:rowOff>228600</xdr:rowOff>
    </xdr:from>
    <xdr:to>
      <xdr:col>10</xdr:col>
      <xdr:colOff>260350</xdr:colOff>
      <xdr:row>301</xdr:row>
      <xdr:rowOff>447675</xdr:rowOff>
    </xdr:to>
    <xdr:pic>
      <xdr:nvPicPr>
        <xdr:cNvPr id="4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27190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301</xdr:row>
      <xdr:rowOff>231775</xdr:rowOff>
    </xdr:from>
    <xdr:to>
      <xdr:col>10</xdr:col>
      <xdr:colOff>539750</xdr:colOff>
      <xdr:row>301</xdr:row>
      <xdr:rowOff>450850</xdr:rowOff>
    </xdr:to>
    <xdr:pic>
      <xdr:nvPicPr>
        <xdr:cNvPr id="48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27193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8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311</xdr:row>
      <xdr:rowOff>257175</xdr:rowOff>
    </xdr:from>
    <xdr:to>
      <xdr:col>3</xdr:col>
      <xdr:colOff>514350</xdr:colOff>
      <xdr:row>311</xdr:row>
      <xdr:rowOff>476250</xdr:rowOff>
    </xdr:to>
    <xdr:pic>
      <xdr:nvPicPr>
        <xdr:cNvPr id="49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383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311</xdr:row>
      <xdr:rowOff>257175</xdr:rowOff>
    </xdr:from>
    <xdr:to>
      <xdr:col>10</xdr:col>
      <xdr:colOff>514350</xdr:colOff>
      <xdr:row>311</xdr:row>
      <xdr:rowOff>476250</xdr:rowOff>
    </xdr:to>
    <xdr:pic>
      <xdr:nvPicPr>
        <xdr:cNvPr id="49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383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311</xdr:row>
      <xdr:rowOff>257175</xdr:rowOff>
    </xdr:from>
    <xdr:to>
      <xdr:col>3</xdr:col>
      <xdr:colOff>514350</xdr:colOff>
      <xdr:row>311</xdr:row>
      <xdr:rowOff>476250</xdr:rowOff>
    </xdr:to>
    <xdr:pic>
      <xdr:nvPicPr>
        <xdr:cNvPr id="49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383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311</xdr:row>
      <xdr:rowOff>257175</xdr:rowOff>
    </xdr:from>
    <xdr:to>
      <xdr:col>3</xdr:col>
      <xdr:colOff>514350</xdr:colOff>
      <xdr:row>311</xdr:row>
      <xdr:rowOff>476250</xdr:rowOff>
    </xdr:to>
    <xdr:pic>
      <xdr:nvPicPr>
        <xdr:cNvPr id="4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383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311</xdr:row>
      <xdr:rowOff>257175</xdr:rowOff>
    </xdr:from>
    <xdr:to>
      <xdr:col>10</xdr:col>
      <xdr:colOff>514350</xdr:colOff>
      <xdr:row>311</xdr:row>
      <xdr:rowOff>476250</xdr:rowOff>
    </xdr:to>
    <xdr:pic>
      <xdr:nvPicPr>
        <xdr:cNvPr id="4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383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311</xdr:row>
      <xdr:rowOff>257175</xdr:rowOff>
    </xdr:from>
    <xdr:to>
      <xdr:col>3</xdr:col>
      <xdr:colOff>514350</xdr:colOff>
      <xdr:row>311</xdr:row>
      <xdr:rowOff>476250</xdr:rowOff>
    </xdr:to>
    <xdr:pic>
      <xdr:nvPicPr>
        <xdr:cNvPr id="4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3838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311</xdr:row>
      <xdr:rowOff>279400</xdr:rowOff>
    </xdr:from>
    <xdr:to>
      <xdr:col>10</xdr:col>
      <xdr:colOff>196850</xdr:colOff>
      <xdr:row>311</xdr:row>
      <xdr:rowOff>498475</xdr:rowOff>
    </xdr:to>
    <xdr:pic>
      <xdr:nvPicPr>
        <xdr:cNvPr id="4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311</xdr:row>
      <xdr:rowOff>279400</xdr:rowOff>
    </xdr:from>
    <xdr:to>
      <xdr:col>3</xdr:col>
      <xdr:colOff>196850</xdr:colOff>
      <xdr:row>311</xdr:row>
      <xdr:rowOff>498475</xdr:rowOff>
    </xdr:to>
    <xdr:pic>
      <xdr:nvPicPr>
        <xdr:cNvPr id="49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3860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4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381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311</xdr:row>
      <xdr:rowOff>231775</xdr:rowOff>
    </xdr:from>
    <xdr:to>
      <xdr:col>3</xdr:col>
      <xdr:colOff>539750</xdr:colOff>
      <xdr:row>311</xdr:row>
      <xdr:rowOff>450850</xdr:rowOff>
    </xdr:to>
    <xdr:pic>
      <xdr:nvPicPr>
        <xdr:cNvPr id="4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381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4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381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311</xdr:row>
      <xdr:rowOff>231775</xdr:rowOff>
    </xdr:from>
    <xdr:to>
      <xdr:col>10</xdr:col>
      <xdr:colOff>539750</xdr:colOff>
      <xdr:row>311</xdr:row>
      <xdr:rowOff>450850</xdr:rowOff>
    </xdr:to>
    <xdr:pic>
      <xdr:nvPicPr>
        <xdr:cNvPr id="49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381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4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381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311</xdr:row>
      <xdr:rowOff>231775</xdr:rowOff>
    </xdr:from>
    <xdr:to>
      <xdr:col>3</xdr:col>
      <xdr:colOff>539750</xdr:colOff>
      <xdr:row>311</xdr:row>
      <xdr:rowOff>450850</xdr:rowOff>
    </xdr:to>
    <xdr:pic>
      <xdr:nvPicPr>
        <xdr:cNvPr id="49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381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4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381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311</xdr:row>
      <xdr:rowOff>231775</xdr:rowOff>
    </xdr:from>
    <xdr:to>
      <xdr:col>3</xdr:col>
      <xdr:colOff>539750</xdr:colOff>
      <xdr:row>311</xdr:row>
      <xdr:rowOff>450850</xdr:rowOff>
    </xdr:to>
    <xdr:pic>
      <xdr:nvPicPr>
        <xdr:cNvPr id="49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381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4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381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311</xdr:row>
      <xdr:rowOff>231775</xdr:rowOff>
    </xdr:from>
    <xdr:to>
      <xdr:col>10</xdr:col>
      <xdr:colOff>539750</xdr:colOff>
      <xdr:row>311</xdr:row>
      <xdr:rowOff>450850</xdr:rowOff>
    </xdr:to>
    <xdr:pic>
      <xdr:nvPicPr>
        <xdr:cNvPr id="4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381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311</xdr:row>
      <xdr:rowOff>228600</xdr:rowOff>
    </xdr:from>
    <xdr:to>
      <xdr:col>3</xdr:col>
      <xdr:colOff>260350</xdr:colOff>
      <xdr:row>311</xdr:row>
      <xdr:rowOff>447675</xdr:rowOff>
    </xdr:to>
    <xdr:pic>
      <xdr:nvPicPr>
        <xdr:cNvPr id="4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381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311</xdr:row>
      <xdr:rowOff>231775</xdr:rowOff>
    </xdr:from>
    <xdr:to>
      <xdr:col>3</xdr:col>
      <xdr:colOff>539750</xdr:colOff>
      <xdr:row>311</xdr:row>
      <xdr:rowOff>450850</xdr:rowOff>
    </xdr:to>
    <xdr:pic>
      <xdr:nvPicPr>
        <xdr:cNvPr id="4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381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311</xdr:row>
      <xdr:rowOff>228600</xdr:rowOff>
    </xdr:from>
    <xdr:to>
      <xdr:col>10</xdr:col>
      <xdr:colOff>260350</xdr:colOff>
      <xdr:row>311</xdr:row>
      <xdr:rowOff>447675</xdr:rowOff>
    </xdr:to>
    <xdr:pic>
      <xdr:nvPicPr>
        <xdr:cNvPr id="4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3810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311</xdr:row>
      <xdr:rowOff>231775</xdr:rowOff>
    </xdr:from>
    <xdr:to>
      <xdr:col>10</xdr:col>
      <xdr:colOff>539750</xdr:colOff>
      <xdr:row>311</xdr:row>
      <xdr:rowOff>450850</xdr:rowOff>
    </xdr:to>
    <xdr:pic>
      <xdr:nvPicPr>
        <xdr:cNvPr id="4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3813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4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4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4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49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50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5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50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5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316</xdr:row>
      <xdr:rowOff>257175</xdr:rowOff>
    </xdr:from>
    <xdr:to>
      <xdr:col>10</xdr:col>
      <xdr:colOff>514350</xdr:colOff>
      <xdr:row>316</xdr:row>
      <xdr:rowOff>476250</xdr:rowOff>
    </xdr:to>
    <xdr:pic>
      <xdr:nvPicPr>
        <xdr:cNvPr id="50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316</xdr:row>
      <xdr:rowOff>257175</xdr:rowOff>
    </xdr:from>
    <xdr:to>
      <xdr:col>3</xdr:col>
      <xdr:colOff>514350</xdr:colOff>
      <xdr:row>316</xdr:row>
      <xdr:rowOff>476250</xdr:rowOff>
    </xdr:to>
    <xdr:pic>
      <xdr:nvPicPr>
        <xdr:cNvPr id="50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3694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316</xdr:row>
      <xdr:rowOff>279400</xdr:rowOff>
    </xdr:from>
    <xdr:to>
      <xdr:col>10</xdr:col>
      <xdr:colOff>196850</xdr:colOff>
      <xdr:row>316</xdr:row>
      <xdr:rowOff>498475</xdr:rowOff>
    </xdr:to>
    <xdr:pic>
      <xdr:nvPicPr>
        <xdr:cNvPr id="50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316</xdr:row>
      <xdr:rowOff>279400</xdr:rowOff>
    </xdr:from>
    <xdr:to>
      <xdr:col>3</xdr:col>
      <xdr:colOff>196850</xdr:colOff>
      <xdr:row>316</xdr:row>
      <xdr:rowOff>498475</xdr:rowOff>
    </xdr:to>
    <xdr:pic>
      <xdr:nvPicPr>
        <xdr:cNvPr id="5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3696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316</xdr:row>
      <xdr:rowOff>228600</xdr:rowOff>
    </xdr:from>
    <xdr:to>
      <xdr:col>3</xdr:col>
      <xdr:colOff>260350</xdr:colOff>
      <xdr:row>316</xdr:row>
      <xdr:rowOff>447675</xdr:rowOff>
    </xdr:to>
    <xdr:pic>
      <xdr:nvPicPr>
        <xdr:cNvPr id="50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691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316</xdr:row>
      <xdr:rowOff>231775</xdr:rowOff>
    </xdr:from>
    <xdr:to>
      <xdr:col>3</xdr:col>
      <xdr:colOff>539750</xdr:colOff>
      <xdr:row>316</xdr:row>
      <xdr:rowOff>450850</xdr:rowOff>
    </xdr:to>
    <xdr:pic>
      <xdr:nvPicPr>
        <xdr:cNvPr id="5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691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316</xdr:row>
      <xdr:rowOff>228600</xdr:rowOff>
    </xdr:from>
    <xdr:to>
      <xdr:col>10</xdr:col>
      <xdr:colOff>260350</xdr:colOff>
      <xdr:row>316</xdr:row>
      <xdr:rowOff>447675</xdr:rowOff>
    </xdr:to>
    <xdr:pic>
      <xdr:nvPicPr>
        <xdr:cNvPr id="5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691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316</xdr:row>
      <xdr:rowOff>231775</xdr:rowOff>
    </xdr:from>
    <xdr:to>
      <xdr:col>10</xdr:col>
      <xdr:colOff>539750</xdr:colOff>
      <xdr:row>316</xdr:row>
      <xdr:rowOff>450850</xdr:rowOff>
    </xdr:to>
    <xdr:pic>
      <xdr:nvPicPr>
        <xdr:cNvPr id="5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691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316</xdr:row>
      <xdr:rowOff>228600</xdr:rowOff>
    </xdr:from>
    <xdr:to>
      <xdr:col>3</xdr:col>
      <xdr:colOff>260350</xdr:colOff>
      <xdr:row>316</xdr:row>
      <xdr:rowOff>447675</xdr:rowOff>
    </xdr:to>
    <xdr:pic>
      <xdr:nvPicPr>
        <xdr:cNvPr id="5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691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316</xdr:row>
      <xdr:rowOff>231775</xdr:rowOff>
    </xdr:from>
    <xdr:to>
      <xdr:col>3</xdr:col>
      <xdr:colOff>539750</xdr:colOff>
      <xdr:row>316</xdr:row>
      <xdr:rowOff>450850</xdr:rowOff>
    </xdr:to>
    <xdr:pic>
      <xdr:nvPicPr>
        <xdr:cNvPr id="5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691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316</xdr:row>
      <xdr:rowOff>228600</xdr:rowOff>
    </xdr:from>
    <xdr:to>
      <xdr:col>3</xdr:col>
      <xdr:colOff>260350</xdr:colOff>
      <xdr:row>316</xdr:row>
      <xdr:rowOff>447675</xdr:rowOff>
    </xdr:to>
    <xdr:pic>
      <xdr:nvPicPr>
        <xdr:cNvPr id="5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691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316</xdr:row>
      <xdr:rowOff>231775</xdr:rowOff>
    </xdr:from>
    <xdr:to>
      <xdr:col>3</xdr:col>
      <xdr:colOff>539750</xdr:colOff>
      <xdr:row>316</xdr:row>
      <xdr:rowOff>450850</xdr:rowOff>
    </xdr:to>
    <xdr:pic>
      <xdr:nvPicPr>
        <xdr:cNvPr id="5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3691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316</xdr:row>
      <xdr:rowOff>228600</xdr:rowOff>
    </xdr:from>
    <xdr:to>
      <xdr:col>10</xdr:col>
      <xdr:colOff>260350</xdr:colOff>
      <xdr:row>316</xdr:row>
      <xdr:rowOff>447675</xdr:rowOff>
    </xdr:to>
    <xdr:pic>
      <xdr:nvPicPr>
        <xdr:cNvPr id="5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691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316</xdr:row>
      <xdr:rowOff>231775</xdr:rowOff>
    </xdr:from>
    <xdr:to>
      <xdr:col>10</xdr:col>
      <xdr:colOff>539750</xdr:colOff>
      <xdr:row>316</xdr:row>
      <xdr:rowOff>450850</xdr:rowOff>
    </xdr:to>
    <xdr:pic>
      <xdr:nvPicPr>
        <xdr:cNvPr id="5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691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316</xdr:row>
      <xdr:rowOff>228600</xdr:rowOff>
    </xdr:from>
    <xdr:to>
      <xdr:col>3</xdr:col>
      <xdr:colOff>260350</xdr:colOff>
      <xdr:row>316</xdr:row>
      <xdr:rowOff>447675</xdr:rowOff>
    </xdr:to>
    <xdr:pic>
      <xdr:nvPicPr>
        <xdr:cNvPr id="5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3691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316</xdr:row>
      <xdr:rowOff>287804</xdr:rowOff>
    </xdr:from>
    <xdr:to>
      <xdr:col>3</xdr:col>
      <xdr:colOff>465044</xdr:colOff>
      <xdr:row>316</xdr:row>
      <xdr:rowOff>506879</xdr:rowOff>
    </xdr:to>
    <xdr:pic>
      <xdr:nvPicPr>
        <xdr:cNvPr id="5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369745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316</xdr:row>
      <xdr:rowOff>228600</xdr:rowOff>
    </xdr:from>
    <xdr:to>
      <xdr:col>10</xdr:col>
      <xdr:colOff>260350</xdr:colOff>
      <xdr:row>316</xdr:row>
      <xdr:rowOff>447675</xdr:rowOff>
    </xdr:to>
    <xdr:pic>
      <xdr:nvPicPr>
        <xdr:cNvPr id="5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36915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316</xdr:row>
      <xdr:rowOff>231775</xdr:rowOff>
    </xdr:from>
    <xdr:to>
      <xdr:col>10</xdr:col>
      <xdr:colOff>539750</xdr:colOff>
      <xdr:row>316</xdr:row>
      <xdr:rowOff>450850</xdr:rowOff>
    </xdr:to>
    <xdr:pic>
      <xdr:nvPicPr>
        <xdr:cNvPr id="5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36918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321</xdr:row>
      <xdr:rowOff>257175</xdr:rowOff>
    </xdr:from>
    <xdr:to>
      <xdr:col>10</xdr:col>
      <xdr:colOff>514350</xdr:colOff>
      <xdr:row>321</xdr:row>
      <xdr:rowOff>476250</xdr:rowOff>
    </xdr:to>
    <xdr:pic>
      <xdr:nvPicPr>
        <xdr:cNvPr id="5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321</xdr:row>
      <xdr:rowOff>257175</xdr:rowOff>
    </xdr:from>
    <xdr:to>
      <xdr:col>3</xdr:col>
      <xdr:colOff>514350</xdr:colOff>
      <xdr:row>321</xdr:row>
      <xdr:rowOff>476250</xdr:rowOff>
    </xdr:to>
    <xdr:pic>
      <xdr:nvPicPr>
        <xdr:cNvPr id="5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0658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321</xdr:row>
      <xdr:rowOff>279400</xdr:rowOff>
    </xdr:from>
    <xdr:to>
      <xdr:col>10</xdr:col>
      <xdr:colOff>196850</xdr:colOff>
      <xdr:row>321</xdr:row>
      <xdr:rowOff>498475</xdr:rowOff>
    </xdr:to>
    <xdr:pic>
      <xdr:nvPicPr>
        <xdr:cNvPr id="5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321</xdr:row>
      <xdr:rowOff>279400</xdr:rowOff>
    </xdr:from>
    <xdr:to>
      <xdr:col>3</xdr:col>
      <xdr:colOff>196850</xdr:colOff>
      <xdr:row>321</xdr:row>
      <xdr:rowOff>498475</xdr:rowOff>
    </xdr:to>
    <xdr:pic>
      <xdr:nvPicPr>
        <xdr:cNvPr id="5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0680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5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063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5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063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5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4063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5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4063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5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063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5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063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5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063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5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063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5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4063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5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4063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5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063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321</xdr:row>
      <xdr:rowOff>287804</xdr:rowOff>
    </xdr:from>
    <xdr:to>
      <xdr:col>3</xdr:col>
      <xdr:colOff>465044</xdr:colOff>
      <xdr:row>321</xdr:row>
      <xdr:rowOff>506879</xdr:rowOff>
    </xdr:to>
    <xdr:pic>
      <xdr:nvPicPr>
        <xdr:cNvPr id="5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406892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5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4063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5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4063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03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803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03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03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331</xdr:row>
      <xdr:rowOff>257175</xdr:rowOff>
    </xdr:from>
    <xdr:to>
      <xdr:col>10</xdr:col>
      <xdr:colOff>514350</xdr:colOff>
      <xdr:row>331</xdr:row>
      <xdr:rowOff>476250</xdr:rowOff>
    </xdr:to>
    <xdr:pic>
      <xdr:nvPicPr>
        <xdr:cNvPr id="5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4803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331</xdr:row>
      <xdr:rowOff>257175</xdr:rowOff>
    </xdr:from>
    <xdr:to>
      <xdr:col>3</xdr:col>
      <xdr:colOff>514350</xdr:colOff>
      <xdr:row>331</xdr:row>
      <xdr:rowOff>476250</xdr:rowOff>
    </xdr:to>
    <xdr:pic>
      <xdr:nvPicPr>
        <xdr:cNvPr id="5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4803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331</xdr:row>
      <xdr:rowOff>279400</xdr:rowOff>
    </xdr:from>
    <xdr:to>
      <xdr:col>10</xdr:col>
      <xdr:colOff>196850</xdr:colOff>
      <xdr:row>331</xdr:row>
      <xdr:rowOff>498475</xdr:rowOff>
    </xdr:to>
    <xdr:pic>
      <xdr:nvPicPr>
        <xdr:cNvPr id="5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331</xdr:row>
      <xdr:rowOff>279400</xdr:rowOff>
    </xdr:from>
    <xdr:to>
      <xdr:col>3</xdr:col>
      <xdr:colOff>196850</xdr:colOff>
      <xdr:row>331</xdr:row>
      <xdr:rowOff>498475</xdr:rowOff>
    </xdr:to>
    <xdr:pic>
      <xdr:nvPicPr>
        <xdr:cNvPr id="5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4805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331</xdr:row>
      <xdr:rowOff>228600</xdr:rowOff>
    </xdr:from>
    <xdr:to>
      <xdr:col>3</xdr:col>
      <xdr:colOff>260350</xdr:colOff>
      <xdr:row>331</xdr:row>
      <xdr:rowOff>447675</xdr:rowOff>
    </xdr:to>
    <xdr:pic>
      <xdr:nvPicPr>
        <xdr:cNvPr id="5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800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331</xdr:row>
      <xdr:rowOff>231775</xdr:rowOff>
    </xdr:from>
    <xdr:to>
      <xdr:col>3</xdr:col>
      <xdr:colOff>539750</xdr:colOff>
      <xdr:row>331</xdr:row>
      <xdr:rowOff>450850</xdr:rowOff>
    </xdr:to>
    <xdr:pic>
      <xdr:nvPicPr>
        <xdr:cNvPr id="5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80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331</xdr:row>
      <xdr:rowOff>228600</xdr:rowOff>
    </xdr:from>
    <xdr:to>
      <xdr:col>10</xdr:col>
      <xdr:colOff>260350</xdr:colOff>
      <xdr:row>331</xdr:row>
      <xdr:rowOff>447675</xdr:rowOff>
    </xdr:to>
    <xdr:pic>
      <xdr:nvPicPr>
        <xdr:cNvPr id="5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4800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331</xdr:row>
      <xdr:rowOff>231775</xdr:rowOff>
    </xdr:from>
    <xdr:to>
      <xdr:col>10</xdr:col>
      <xdr:colOff>539750</xdr:colOff>
      <xdr:row>331</xdr:row>
      <xdr:rowOff>450850</xdr:rowOff>
    </xdr:to>
    <xdr:pic>
      <xdr:nvPicPr>
        <xdr:cNvPr id="5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480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331</xdr:row>
      <xdr:rowOff>228600</xdr:rowOff>
    </xdr:from>
    <xdr:to>
      <xdr:col>3</xdr:col>
      <xdr:colOff>260350</xdr:colOff>
      <xdr:row>331</xdr:row>
      <xdr:rowOff>447675</xdr:rowOff>
    </xdr:to>
    <xdr:pic>
      <xdr:nvPicPr>
        <xdr:cNvPr id="5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800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331</xdr:row>
      <xdr:rowOff>231775</xdr:rowOff>
    </xdr:from>
    <xdr:to>
      <xdr:col>3</xdr:col>
      <xdr:colOff>539750</xdr:colOff>
      <xdr:row>331</xdr:row>
      <xdr:rowOff>450850</xdr:rowOff>
    </xdr:to>
    <xdr:pic>
      <xdr:nvPicPr>
        <xdr:cNvPr id="5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80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331</xdr:row>
      <xdr:rowOff>228600</xdr:rowOff>
    </xdr:from>
    <xdr:to>
      <xdr:col>3</xdr:col>
      <xdr:colOff>260350</xdr:colOff>
      <xdr:row>331</xdr:row>
      <xdr:rowOff>447675</xdr:rowOff>
    </xdr:to>
    <xdr:pic>
      <xdr:nvPicPr>
        <xdr:cNvPr id="5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800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331</xdr:row>
      <xdr:rowOff>231775</xdr:rowOff>
    </xdr:from>
    <xdr:to>
      <xdr:col>3</xdr:col>
      <xdr:colOff>539750</xdr:colOff>
      <xdr:row>331</xdr:row>
      <xdr:rowOff>450850</xdr:rowOff>
    </xdr:to>
    <xdr:pic>
      <xdr:nvPicPr>
        <xdr:cNvPr id="5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80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331</xdr:row>
      <xdr:rowOff>228600</xdr:rowOff>
    </xdr:from>
    <xdr:to>
      <xdr:col>10</xdr:col>
      <xdr:colOff>260350</xdr:colOff>
      <xdr:row>331</xdr:row>
      <xdr:rowOff>447675</xdr:rowOff>
    </xdr:to>
    <xdr:pic>
      <xdr:nvPicPr>
        <xdr:cNvPr id="5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4800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331</xdr:row>
      <xdr:rowOff>231775</xdr:rowOff>
    </xdr:from>
    <xdr:to>
      <xdr:col>10</xdr:col>
      <xdr:colOff>539750</xdr:colOff>
      <xdr:row>331</xdr:row>
      <xdr:rowOff>450850</xdr:rowOff>
    </xdr:to>
    <xdr:pic>
      <xdr:nvPicPr>
        <xdr:cNvPr id="5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480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331</xdr:row>
      <xdr:rowOff>228600</xdr:rowOff>
    </xdr:from>
    <xdr:to>
      <xdr:col>3</xdr:col>
      <xdr:colOff>260350</xdr:colOff>
      <xdr:row>331</xdr:row>
      <xdr:rowOff>447675</xdr:rowOff>
    </xdr:to>
    <xdr:pic>
      <xdr:nvPicPr>
        <xdr:cNvPr id="5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4800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331</xdr:row>
      <xdr:rowOff>231775</xdr:rowOff>
    </xdr:from>
    <xdr:to>
      <xdr:col>3</xdr:col>
      <xdr:colOff>539750</xdr:colOff>
      <xdr:row>331</xdr:row>
      <xdr:rowOff>450850</xdr:rowOff>
    </xdr:to>
    <xdr:pic>
      <xdr:nvPicPr>
        <xdr:cNvPr id="5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480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331</xdr:row>
      <xdr:rowOff>228600</xdr:rowOff>
    </xdr:from>
    <xdr:to>
      <xdr:col>10</xdr:col>
      <xdr:colOff>260350</xdr:colOff>
      <xdr:row>331</xdr:row>
      <xdr:rowOff>447675</xdr:rowOff>
    </xdr:to>
    <xdr:pic>
      <xdr:nvPicPr>
        <xdr:cNvPr id="5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48002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331</xdr:row>
      <xdr:rowOff>231775</xdr:rowOff>
    </xdr:from>
    <xdr:to>
      <xdr:col>10</xdr:col>
      <xdr:colOff>539750</xdr:colOff>
      <xdr:row>331</xdr:row>
      <xdr:rowOff>450850</xdr:rowOff>
    </xdr:to>
    <xdr:pic>
      <xdr:nvPicPr>
        <xdr:cNvPr id="5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48005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336</xdr:row>
      <xdr:rowOff>279400</xdr:rowOff>
    </xdr:from>
    <xdr:to>
      <xdr:col>10</xdr:col>
      <xdr:colOff>196850</xdr:colOff>
      <xdr:row>336</xdr:row>
      <xdr:rowOff>498475</xdr:rowOff>
    </xdr:to>
    <xdr:pic>
      <xdr:nvPicPr>
        <xdr:cNvPr id="5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113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336</xdr:row>
      <xdr:rowOff>257175</xdr:rowOff>
    </xdr:from>
    <xdr:to>
      <xdr:col>10</xdr:col>
      <xdr:colOff>514350</xdr:colOff>
      <xdr:row>336</xdr:row>
      <xdr:rowOff>476250</xdr:rowOff>
    </xdr:to>
    <xdr:pic>
      <xdr:nvPicPr>
        <xdr:cNvPr id="5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111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336</xdr:row>
      <xdr:rowOff>279400</xdr:rowOff>
    </xdr:from>
    <xdr:to>
      <xdr:col>3</xdr:col>
      <xdr:colOff>196850</xdr:colOff>
      <xdr:row>336</xdr:row>
      <xdr:rowOff>498475</xdr:rowOff>
    </xdr:to>
    <xdr:pic>
      <xdr:nvPicPr>
        <xdr:cNvPr id="5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1139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336</xdr:row>
      <xdr:rowOff>257175</xdr:rowOff>
    </xdr:from>
    <xdr:to>
      <xdr:col>3</xdr:col>
      <xdr:colOff>514350</xdr:colOff>
      <xdr:row>336</xdr:row>
      <xdr:rowOff>476250</xdr:rowOff>
    </xdr:to>
    <xdr:pic>
      <xdr:nvPicPr>
        <xdr:cNvPr id="5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1117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341</xdr:row>
      <xdr:rowOff>279400</xdr:rowOff>
    </xdr:from>
    <xdr:to>
      <xdr:col>10</xdr:col>
      <xdr:colOff>196850</xdr:colOff>
      <xdr:row>341</xdr:row>
      <xdr:rowOff>498475</xdr:rowOff>
    </xdr:to>
    <xdr:pic>
      <xdr:nvPicPr>
        <xdr:cNvPr id="5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4701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341</xdr:row>
      <xdr:rowOff>257175</xdr:rowOff>
    </xdr:from>
    <xdr:to>
      <xdr:col>10</xdr:col>
      <xdr:colOff>514350</xdr:colOff>
      <xdr:row>341</xdr:row>
      <xdr:rowOff>476250</xdr:rowOff>
    </xdr:to>
    <xdr:pic>
      <xdr:nvPicPr>
        <xdr:cNvPr id="5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4679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341</xdr:row>
      <xdr:rowOff>279400</xdr:rowOff>
    </xdr:from>
    <xdr:to>
      <xdr:col>3</xdr:col>
      <xdr:colOff>196850</xdr:colOff>
      <xdr:row>341</xdr:row>
      <xdr:rowOff>498475</xdr:rowOff>
    </xdr:to>
    <xdr:pic>
      <xdr:nvPicPr>
        <xdr:cNvPr id="5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701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341</xdr:row>
      <xdr:rowOff>257175</xdr:rowOff>
    </xdr:from>
    <xdr:to>
      <xdr:col>3</xdr:col>
      <xdr:colOff>514350</xdr:colOff>
      <xdr:row>341</xdr:row>
      <xdr:rowOff>476250</xdr:rowOff>
    </xdr:to>
    <xdr:pic>
      <xdr:nvPicPr>
        <xdr:cNvPr id="5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4679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341</xdr:row>
      <xdr:rowOff>279400</xdr:rowOff>
    </xdr:from>
    <xdr:to>
      <xdr:col>10</xdr:col>
      <xdr:colOff>196850</xdr:colOff>
      <xdr:row>341</xdr:row>
      <xdr:rowOff>498475</xdr:rowOff>
    </xdr:to>
    <xdr:pic>
      <xdr:nvPicPr>
        <xdr:cNvPr id="5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4701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341</xdr:row>
      <xdr:rowOff>257175</xdr:rowOff>
    </xdr:from>
    <xdr:to>
      <xdr:col>10</xdr:col>
      <xdr:colOff>514350</xdr:colOff>
      <xdr:row>341</xdr:row>
      <xdr:rowOff>476250</xdr:rowOff>
    </xdr:to>
    <xdr:pic>
      <xdr:nvPicPr>
        <xdr:cNvPr id="5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4679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341</xdr:row>
      <xdr:rowOff>279400</xdr:rowOff>
    </xdr:from>
    <xdr:to>
      <xdr:col>3</xdr:col>
      <xdr:colOff>196850</xdr:colOff>
      <xdr:row>341</xdr:row>
      <xdr:rowOff>498475</xdr:rowOff>
    </xdr:to>
    <xdr:pic>
      <xdr:nvPicPr>
        <xdr:cNvPr id="5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4701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341</xdr:row>
      <xdr:rowOff>257175</xdr:rowOff>
    </xdr:from>
    <xdr:to>
      <xdr:col>3</xdr:col>
      <xdr:colOff>514350</xdr:colOff>
      <xdr:row>341</xdr:row>
      <xdr:rowOff>476250</xdr:rowOff>
    </xdr:to>
    <xdr:pic>
      <xdr:nvPicPr>
        <xdr:cNvPr id="5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4679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4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5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346</xdr:row>
      <xdr:rowOff>257175</xdr:rowOff>
    </xdr:from>
    <xdr:to>
      <xdr:col>3</xdr:col>
      <xdr:colOff>514350</xdr:colOff>
      <xdr:row>346</xdr:row>
      <xdr:rowOff>476250</xdr:rowOff>
    </xdr:to>
    <xdr:pic>
      <xdr:nvPicPr>
        <xdr:cNvPr id="5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5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346</xdr:row>
      <xdr:rowOff>279400</xdr:rowOff>
    </xdr:from>
    <xdr:to>
      <xdr:col>3</xdr:col>
      <xdr:colOff>196850</xdr:colOff>
      <xdr:row>346</xdr:row>
      <xdr:rowOff>498475</xdr:rowOff>
    </xdr:to>
    <xdr:pic>
      <xdr:nvPicPr>
        <xdr:cNvPr id="5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346</xdr:row>
      <xdr:rowOff>228600</xdr:rowOff>
    </xdr:from>
    <xdr:to>
      <xdr:col>3</xdr:col>
      <xdr:colOff>260350</xdr:colOff>
      <xdr:row>346</xdr:row>
      <xdr:rowOff>447675</xdr:rowOff>
    </xdr:to>
    <xdr:pic>
      <xdr:nvPicPr>
        <xdr:cNvPr id="5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840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346</xdr:row>
      <xdr:rowOff>231775</xdr:rowOff>
    </xdr:from>
    <xdr:to>
      <xdr:col>3</xdr:col>
      <xdr:colOff>539750</xdr:colOff>
      <xdr:row>346</xdr:row>
      <xdr:rowOff>450850</xdr:rowOff>
    </xdr:to>
    <xdr:pic>
      <xdr:nvPicPr>
        <xdr:cNvPr id="5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840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346</xdr:row>
      <xdr:rowOff>228600</xdr:rowOff>
    </xdr:from>
    <xdr:to>
      <xdr:col>10</xdr:col>
      <xdr:colOff>260350</xdr:colOff>
      <xdr:row>346</xdr:row>
      <xdr:rowOff>447675</xdr:rowOff>
    </xdr:to>
    <xdr:pic>
      <xdr:nvPicPr>
        <xdr:cNvPr id="5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5840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346</xdr:row>
      <xdr:rowOff>231775</xdr:rowOff>
    </xdr:from>
    <xdr:to>
      <xdr:col>10</xdr:col>
      <xdr:colOff>539750</xdr:colOff>
      <xdr:row>346</xdr:row>
      <xdr:rowOff>450850</xdr:rowOff>
    </xdr:to>
    <xdr:pic>
      <xdr:nvPicPr>
        <xdr:cNvPr id="5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5840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346</xdr:row>
      <xdr:rowOff>228600</xdr:rowOff>
    </xdr:from>
    <xdr:to>
      <xdr:col>3</xdr:col>
      <xdr:colOff>260350</xdr:colOff>
      <xdr:row>346</xdr:row>
      <xdr:rowOff>447675</xdr:rowOff>
    </xdr:to>
    <xdr:pic>
      <xdr:nvPicPr>
        <xdr:cNvPr id="5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840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346</xdr:row>
      <xdr:rowOff>231775</xdr:rowOff>
    </xdr:from>
    <xdr:to>
      <xdr:col>3</xdr:col>
      <xdr:colOff>539750</xdr:colOff>
      <xdr:row>346</xdr:row>
      <xdr:rowOff>450850</xdr:rowOff>
    </xdr:to>
    <xdr:pic>
      <xdr:nvPicPr>
        <xdr:cNvPr id="5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840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346</xdr:row>
      <xdr:rowOff>228600</xdr:rowOff>
    </xdr:from>
    <xdr:to>
      <xdr:col>3</xdr:col>
      <xdr:colOff>260350</xdr:colOff>
      <xdr:row>346</xdr:row>
      <xdr:rowOff>447675</xdr:rowOff>
    </xdr:to>
    <xdr:pic>
      <xdr:nvPicPr>
        <xdr:cNvPr id="5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840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346</xdr:row>
      <xdr:rowOff>231775</xdr:rowOff>
    </xdr:from>
    <xdr:to>
      <xdr:col>3</xdr:col>
      <xdr:colOff>539750</xdr:colOff>
      <xdr:row>346</xdr:row>
      <xdr:rowOff>450850</xdr:rowOff>
    </xdr:to>
    <xdr:pic>
      <xdr:nvPicPr>
        <xdr:cNvPr id="5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25840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346</xdr:row>
      <xdr:rowOff>228600</xdr:rowOff>
    </xdr:from>
    <xdr:to>
      <xdr:col>10</xdr:col>
      <xdr:colOff>260350</xdr:colOff>
      <xdr:row>346</xdr:row>
      <xdr:rowOff>447675</xdr:rowOff>
    </xdr:to>
    <xdr:pic>
      <xdr:nvPicPr>
        <xdr:cNvPr id="5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5840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346</xdr:row>
      <xdr:rowOff>231775</xdr:rowOff>
    </xdr:from>
    <xdr:to>
      <xdr:col>10</xdr:col>
      <xdr:colOff>539750</xdr:colOff>
      <xdr:row>346</xdr:row>
      <xdr:rowOff>450850</xdr:rowOff>
    </xdr:to>
    <xdr:pic>
      <xdr:nvPicPr>
        <xdr:cNvPr id="5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5840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346</xdr:row>
      <xdr:rowOff>228600</xdr:rowOff>
    </xdr:from>
    <xdr:to>
      <xdr:col>3</xdr:col>
      <xdr:colOff>260350</xdr:colOff>
      <xdr:row>346</xdr:row>
      <xdr:rowOff>447675</xdr:rowOff>
    </xdr:to>
    <xdr:pic>
      <xdr:nvPicPr>
        <xdr:cNvPr id="5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25840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346</xdr:row>
      <xdr:rowOff>287804</xdr:rowOff>
    </xdr:from>
    <xdr:to>
      <xdr:col>3</xdr:col>
      <xdr:colOff>465044</xdr:colOff>
      <xdr:row>346</xdr:row>
      <xdr:rowOff>506879</xdr:rowOff>
    </xdr:to>
    <xdr:pic>
      <xdr:nvPicPr>
        <xdr:cNvPr id="5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2584629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346</xdr:row>
      <xdr:rowOff>228600</xdr:rowOff>
    </xdr:from>
    <xdr:to>
      <xdr:col>10</xdr:col>
      <xdr:colOff>260350</xdr:colOff>
      <xdr:row>346</xdr:row>
      <xdr:rowOff>447675</xdr:rowOff>
    </xdr:to>
    <xdr:pic>
      <xdr:nvPicPr>
        <xdr:cNvPr id="5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258403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346</xdr:row>
      <xdr:rowOff>231775</xdr:rowOff>
    </xdr:from>
    <xdr:to>
      <xdr:col>10</xdr:col>
      <xdr:colOff>539750</xdr:colOff>
      <xdr:row>346</xdr:row>
      <xdr:rowOff>450850</xdr:rowOff>
    </xdr:to>
    <xdr:pic>
      <xdr:nvPicPr>
        <xdr:cNvPr id="5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25840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221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6219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221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219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351</xdr:row>
      <xdr:rowOff>279400</xdr:rowOff>
    </xdr:from>
    <xdr:to>
      <xdr:col>10</xdr:col>
      <xdr:colOff>196850</xdr:colOff>
      <xdr:row>351</xdr:row>
      <xdr:rowOff>498475</xdr:rowOff>
    </xdr:to>
    <xdr:pic>
      <xdr:nvPicPr>
        <xdr:cNvPr id="5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221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351</xdr:row>
      <xdr:rowOff>257175</xdr:rowOff>
    </xdr:from>
    <xdr:to>
      <xdr:col>10</xdr:col>
      <xdr:colOff>514350</xdr:colOff>
      <xdr:row>351</xdr:row>
      <xdr:rowOff>476250</xdr:rowOff>
    </xdr:to>
    <xdr:pic>
      <xdr:nvPicPr>
        <xdr:cNvPr id="5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6219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351</xdr:row>
      <xdr:rowOff>279400</xdr:rowOff>
    </xdr:from>
    <xdr:to>
      <xdr:col>3</xdr:col>
      <xdr:colOff>196850</xdr:colOff>
      <xdr:row>351</xdr:row>
      <xdr:rowOff>498475</xdr:rowOff>
    </xdr:to>
    <xdr:pic>
      <xdr:nvPicPr>
        <xdr:cNvPr id="5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2216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351</xdr:row>
      <xdr:rowOff>257175</xdr:rowOff>
    </xdr:from>
    <xdr:to>
      <xdr:col>3</xdr:col>
      <xdr:colOff>514350</xdr:colOff>
      <xdr:row>351</xdr:row>
      <xdr:rowOff>476250</xdr:rowOff>
    </xdr:to>
    <xdr:pic>
      <xdr:nvPicPr>
        <xdr:cNvPr id="55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2194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356</xdr:row>
      <xdr:rowOff>279400</xdr:rowOff>
    </xdr:from>
    <xdr:to>
      <xdr:col>10</xdr:col>
      <xdr:colOff>196850</xdr:colOff>
      <xdr:row>356</xdr:row>
      <xdr:rowOff>498475</xdr:rowOff>
    </xdr:to>
    <xdr:pic>
      <xdr:nvPicPr>
        <xdr:cNvPr id="5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5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356</xdr:row>
      <xdr:rowOff>257175</xdr:rowOff>
    </xdr:from>
    <xdr:to>
      <xdr:col>10</xdr:col>
      <xdr:colOff>514350</xdr:colOff>
      <xdr:row>356</xdr:row>
      <xdr:rowOff>476250</xdr:rowOff>
    </xdr:to>
    <xdr:pic>
      <xdr:nvPicPr>
        <xdr:cNvPr id="55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65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356</xdr:row>
      <xdr:rowOff>279400</xdr:rowOff>
    </xdr:from>
    <xdr:to>
      <xdr:col>3</xdr:col>
      <xdr:colOff>196850</xdr:colOff>
      <xdr:row>356</xdr:row>
      <xdr:rowOff>498475</xdr:rowOff>
    </xdr:to>
    <xdr:pic>
      <xdr:nvPicPr>
        <xdr:cNvPr id="55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5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356</xdr:row>
      <xdr:rowOff>257175</xdr:rowOff>
    </xdr:from>
    <xdr:to>
      <xdr:col>3</xdr:col>
      <xdr:colOff>514350</xdr:colOff>
      <xdr:row>356</xdr:row>
      <xdr:rowOff>476250</xdr:rowOff>
    </xdr:to>
    <xdr:pic>
      <xdr:nvPicPr>
        <xdr:cNvPr id="55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5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356</xdr:row>
      <xdr:rowOff>279400</xdr:rowOff>
    </xdr:from>
    <xdr:to>
      <xdr:col>10</xdr:col>
      <xdr:colOff>196850</xdr:colOff>
      <xdr:row>356</xdr:row>
      <xdr:rowOff>498475</xdr:rowOff>
    </xdr:to>
    <xdr:pic>
      <xdr:nvPicPr>
        <xdr:cNvPr id="55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5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356</xdr:row>
      <xdr:rowOff>257175</xdr:rowOff>
    </xdr:from>
    <xdr:to>
      <xdr:col>10</xdr:col>
      <xdr:colOff>514350</xdr:colOff>
      <xdr:row>356</xdr:row>
      <xdr:rowOff>476250</xdr:rowOff>
    </xdr:to>
    <xdr:pic>
      <xdr:nvPicPr>
        <xdr:cNvPr id="55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65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356</xdr:row>
      <xdr:rowOff>279400</xdr:rowOff>
    </xdr:from>
    <xdr:to>
      <xdr:col>3</xdr:col>
      <xdr:colOff>196850</xdr:colOff>
      <xdr:row>356</xdr:row>
      <xdr:rowOff>498475</xdr:rowOff>
    </xdr:to>
    <xdr:pic>
      <xdr:nvPicPr>
        <xdr:cNvPr id="55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536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356</xdr:row>
      <xdr:rowOff>257175</xdr:rowOff>
    </xdr:from>
    <xdr:to>
      <xdr:col>3</xdr:col>
      <xdr:colOff>514350</xdr:colOff>
      <xdr:row>356</xdr:row>
      <xdr:rowOff>476250</xdr:rowOff>
    </xdr:to>
    <xdr:pic>
      <xdr:nvPicPr>
        <xdr:cNvPr id="55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533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361</xdr:row>
      <xdr:rowOff>279400</xdr:rowOff>
    </xdr:from>
    <xdr:to>
      <xdr:col>10</xdr:col>
      <xdr:colOff>196850</xdr:colOff>
      <xdr:row>361</xdr:row>
      <xdr:rowOff>498475</xdr:rowOff>
    </xdr:to>
    <xdr:pic>
      <xdr:nvPicPr>
        <xdr:cNvPr id="55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881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361</xdr:row>
      <xdr:rowOff>257175</xdr:rowOff>
    </xdr:from>
    <xdr:to>
      <xdr:col>10</xdr:col>
      <xdr:colOff>514350</xdr:colOff>
      <xdr:row>361</xdr:row>
      <xdr:rowOff>476250</xdr:rowOff>
    </xdr:to>
    <xdr:pic>
      <xdr:nvPicPr>
        <xdr:cNvPr id="55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6879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361</xdr:row>
      <xdr:rowOff>279400</xdr:rowOff>
    </xdr:from>
    <xdr:to>
      <xdr:col>3</xdr:col>
      <xdr:colOff>196850</xdr:colOff>
      <xdr:row>361</xdr:row>
      <xdr:rowOff>498475</xdr:rowOff>
    </xdr:to>
    <xdr:pic>
      <xdr:nvPicPr>
        <xdr:cNvPr id="55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881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361</xdr:row>
      <xdr:rowOff>257175</xdr:rowOff>
    </xdr:from>
    <xdr:to>
      <xdr:col>3</xdr:col>
      <xdr:colOff>514350</xdr:colOff>
      <xdr:row>361</xdr:row>
      <xdr:rowOff>476250</xdr:rowOff>
    </xdr:to>
    <xdr:pic>
      <xdr:nvPicPr>
        <xdr:cNvPr id="55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879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361</xdr:row>
      <xdr:rowOff>279400</xdr:rowOff>
    </xdr:from>
    <xdr:to>
      <xdr:col>10</xdr:col>
      <xdr:colOff>196850</xdr:colOff>
      <xdr:row>361</xdr:row>
      <xdr:rowOff>498475</xdr:rowOff>
    </xdr:to>
    <xdr:pic>
      <xdr:nvPicPr>
        <xdr:cNvPr id="55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6881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361</xdr:row>
      <xdr:rowOff>257175</xdr:rowOff>
    </xdr:from>
    <xdr:to>
      <xdr:col>10</xdr:col>
      <xdr:colOff>514350</xdr:colOff>
      <xdr:row>361</xdr:row>
      <xdr:rowOff>476250</xdr:rowOff>
    </xdr:to>
    <xdr:pic>
      <xdr:nvPicPr>
        <xdr:cNvPr id="55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6879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361</xdr:row>
      <xdr:rowOff>279400</xdr:rowOff>
    </xdr:from>
    <xdr:to>
      <xdr:col>3</xdr:col>
      <xdr:colOff>196850</xdr:colOff>
      <xdr:row>361</xdr:row>
      <xdr:rowOff>498475</xdr:rowOff>
    </xdr:to>
    <xdr:pic>
      <xdr:nvPicPr>
        <xdr:cNvPr id="55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6881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361</xdr:row>
      <xdr:rowOff>257175</xdr:rowOff>
    </xdr:from>
    <xdr:to>
      <xdr:col>3</xdr:col>
      <xdr:colOff>514350</xdr:colOff>
      <xdr:row>361</xdr:row>
      <xdr:rowOff>476250</xdr:rowOff>
    </xdr:to>
    <xdr:pic>
      <xdr:nvPicPr>
        <xdr:cNvPr id="55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6879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365</xdr:row>
      <xdr:rowOff>279400</xdr:rowOff>
    </xdr:from>
    <xdr:to>
      <xdr:col>10</xdr:col>
      <xdr:colOff>196850</xdr:colOff>
      <xdr:row>365</xdr:row>
      <xdr:rowOff>498475</xdr:rowOff>
    </xdr:to>
    <xdr:pic>
      <xdr:nvPicPr>
        <xdr:cNvPr id="55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150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365</xdr:row>
      <xdr:rowOff>257175</xdr:rowOff>
    </xdr:from>
    <xdr:to>
      <xdr:col>10</xdr:col>
      <xdr:colOff>514350</xdr:colOff>
      <xdr:row>365</xdr:row>
      <xdr:rowOff>476250</xdr:rowOff>
    </xdr:to>
    <xdr:pic>
      <xdr:nvPicPr>
        <xdr:cNvPr id="55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148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365</xdr:row>
      <xdr:rowOff>279400</xdr:rowOff>
    </xdr:from>
    <xdr:to>
      <xdr:col>3</xdr:col>
      <xdr:colOff>196850</xdr:colOff>
      <xdr:row>365</xdr:row>
      <xdr:rowOff>498475</xdr:rowOff>
    </xdr:to>
    <xdr:pic>
      <xdr:nvPicPr>
        <xdr:cNvPr id="55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150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365</xdr:row>
      <xdr:rowOff>257175</xdr:rowOff>
    </xdr:from>
    <xdr:to>
      <xdr:col>3</xdr:col>
      <xdr:colOff>514350</xdr:colOff>
      <xdr:row>365</xdr:row>
      <xdr:rowOff>476250</xdr:rowOff>
    </xdr:to>
    <xdr:pic>
      <xdr:nvPicPr>
        <xdr:cNvPr id="55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148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365</xdr:row>
      <xdr:rowOff>279400</xdr:rowOff>
    </xdr:from>
    <xdr:to>
      <xdr:col>10</xdr:col>
      <xdr:colOff>196850</xdr:colOff>
      <xdr:row>365</xdr:row>
      <xdr:rowOff>498475</xdr:rowOff>
    </xdr:to>
    <xdr:pic>
      <xdr:nvPicPr>
        <xdr:cNvPr id="55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150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365</xdr:row>
      <xdr:rowOff>257175</xdr:rowOff>
    </xdr:from>
    <xdr:to>
      <xdr:col>10</xdr:col>
      <xdr:colOff>514350</xdr:colOff>
      <xdr:row>365</xdr:row>
      <xdr:rowOff>476250</xdr:rowOff>
    </xdr:to>
    <xdr:pic>
      <xdr:nvPicPr>
        <xdr:cNvPr id="55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148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365</xdr:row>
      <xdr:rowOff>279400</xdr:rowOff>
    </xdr:from>
    <xdr:to>
      <xdr:col>3</xdr:col>
      <xdr:colOff>196850</xdr:colOff>
      <xdr:row>365</xdr:row>
      <xdr:rowOff>498475</xdr:rowOff>
    </xdr:to>
    <xdr:pic>
      <xdr:nvPicPr>
        <xdr:cNvPr id="55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150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365</xdr:row>
      <xdr:rowOff>257175</xdr:rowOff>
    </xdr:from>
    <xdr:to>
      <xdr:col>3</xdr:col>
      <xdr:colOff>514350</xdr:colOff>
      <xdr:row>365</xdr:row>
      <xdr:rowOff>476250</xdr:rowOff>
    </xdr:to>
    <xdr:pic>
      <xdr:nvPicPr>
        <xdr:cNvPr id="55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148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365</xdr:row>
      <xdr:rowOff>279400</xdr:rowOff>
    </xdr:from>
    <xdr:to>
      <xdr:col>10</xdr:col>
      <xdr:colOff>196850</xdr:colOff>
      <xdr:row>365</xdr:row>
      <xdr:rowOff>498475</xdr:rowOff>
    </xdr:to>
    <xdr:pic>
      <xdr:nvPicPr>
        <xdr:cNvPr id="55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150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365</xdr:row>
      <xdr:rowOff>257175</xdr:rowOff>
    </xdr:from>
    <xdr:to>
      <xdr:col>10</xdr:col>
      <xdr:colOff>514350</xdr:colOff>
      <xdr:row>365</xdr:row>
      <xdr:rowOff>476250</xdr:rowOff>
    </xdr:to>
    <xdr:pic>
      <xdr:nvPicPr>
        <xdr:cNvPr id="55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148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365</xdr:row>
      <xdr:rowOff>279400</xdr:rowOff>
    </xdr:from>
    <xdr:to>
      <xdr:col>3</xdr:col>
      <xdr:colOff>196850</xdr:colOff>
      <xdr:row>365</xdr:row>
      <xdr:rowOff>498475</xdr:rowOff>
    </xdr:to>
    <xdr:pic>
      <xdr:nvPicPr>
        <xdr:cNvPr id="55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1503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365</xdr:row>
      <xdr:rowOff>257175</xdr:rowOff>
    </xdr:from>
    <xdr:to>
      <xdr:col>3</xdr:col>
      <xdr:colOff>514350</xdr:colOff>
      <xdr:row>365</xdr:row>
      <xdr:rowOff>476250</xdr:rowOff>
    </xdr:to>
    <xdr:pic>
      <xdr:nvPicPr>
        <xdr:cNvPr id="55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1481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370</xdr:row>
      <xdr:rowOff>279400</xdr:rowOff>
    </xdr:from>
    <xdr:to>
      <xdr:col>10</xdr:col>
      <xdr:colOff>196850</xdr:colOff>
      <xdr:row>370</xdr:row>
      <xdr:rowOff>498475</xdr:rowOff>
    </xdr:to>
    <xdr:pic>
      <xdr:nvPicPr>
        <xdr:cNvPr id="55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4980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370</xdr:row>
      <xdr:rowOff>257175</xdr:rowOff>
    </xdr:from>
    <xdr:to>
      <xdr:col>10</xdr:col>
      <xdr:colOff>514350</xdr:colOff>
      <xdr:row>370</xdr:row>
      <xdr:rowOff>476250</xdr:rowOff>
    </xdr:to>
    <xdr:pic>
      <xdr:nvPicPr>
        <xdr:cNvPr id="55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4958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370</xdr:row>
      <xdr:rowOff>279400</xdr:rowOff>
    </xdr:from>
    <xdr:to>
      <xdr:col>3</xdr:col>
      <xdr:colOff>196850</xdr:colOff>
      <xdr:row>370</xdr:row>
      <xdr:rowOff>498475</xdr:rowOff>
    </xdr:to>
    <xdr:pic>
      <xdr:nvPicPr>
        <xdr:cNvPr id="55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4980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370</xdr:row>
      <xdr:rowOff>257175</xdr:rowOff>
    </xdr:from>
    <xdr:to>
      <xdr:col>3</xdr:col>
      <xdr:colOff>514350</xdr:colOff>
      <xdr:row>370</xdr:row>
      <xdr:rowOff>476250</xdr:rowOff>
    </xdr:to>
    <xdr:pic>
      <xdr:nvPicPr>
        <xdr:cNvPr id="55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4958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370</xdr:row>
      <xdr:rowOff>279400</xdr:rowOff>
    </xdr:from>
    <xdr:to>
      <xdr:col>10</xdr:col>
      <xdr:colOff>196850</xdr:colOff>
      <xdr:row>370</xdr:row>
      <xdr:rowOff>498475</xdr:rowOff>
    </xdr:to>
    <xdr:pic>
      <xdr:nvPicPr>
        <xdr:cNvPr id="55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4980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370</xdr:row>
      <xdr:rowOff>257175</xdr:rowOff>
    </xdr:from>
    <xdr:to>
      <xdr:col>10</xdr:col>
      <xdr:colOff>514350</xdr:colOff>
      <xdr:row>370</xdr:row>
      <xdr:rowOff>476250</xdr:rowOff>
    </xdr:to>
    <xdr:pic>
      <xdr:nvPicPr>
        <xdr:cNvPr id="55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4958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370</xdr:row>
      <xdr:rowOff>279400</xdr:rowOff>
    </xdr:from>
    <xdr:to>
      <xdr:col>3</xdr:col>
      <xdr:colOff>196850</xdr:colOff>
      <xdr:row>370</xdr:row>
      <xdr:rowOff>498475</xdr:rowOff>
    </xdr:to>
    <xdr:pic>
      <xdr:nvPicPr>
        <xdr:cNvPr id="55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4980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370</xdr:row>
      <xdr:rowOff>257175</xdr:rowOff>
    </xdr:from>
    <xdr:to>
      <xdr:col>3</xdr:col>
      <xdr:colOff>514350</xdr:colOff>
      <xdr:row>370</xdr:row>
      <xdr:rowOff>476250</xdr:rowOff>
    </xdr:to>
    <xdr:pic>
      <xdr:nvPicPr>
        <xdr:cNvPr id="55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4958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375</xdr:row>
      <xdr:rowOff>279400</xdr:rowOff>
    </xdr:from>
    <xdr:to>
      <xdr:col>10</xdr:col>
      <xdr:colOff>196850</xdr:colOff>
      <xdr:row>375</xdr:row>
      <xdr:rowOff>498475</xdr:rowOff>
    </xdr:to>
    <xdr:pic>
      <xdr:nvPicPr>
        <xdr:cNvPr id="55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8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375</xdr:row>
      <xdr:rowOff>257175</xdr:rowOff>
    </xdr:from>
    <xdr:to>
      <xdr:col>10</xdr:col>
      <xdr:colOff>514350</xdr:colOff>
      <xdr:row>375</xdr:row>
      <xdr:rowOff>476250</xdr:rowOff>
    </xdr:to>
    <xdr:pic>
      <xdr:nvPicPr>
        <xdr:cNvPr id="55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801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375</xdr:row>
      <xdr:rowOff>279400</xdr:rowOff>
    </xdr:from>
    <xdr:to>
      <xdr:col>3</xdr:col>
      <xdr:colOff>196850</xdr:colOff>
      <xdr:row>375</xdr:row>
      <xdr:rowOff>498475</xdr:rowOff>
    </xdr:to>
    <xdr:pic>
      <xdr:nvPicPr>
        <xdr:cNvPr id="55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8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375</xdr:row>
      <xdr:rowOff>257175</xdr:rowOff>
    </xdr:from>
    <xdr:to>
      <xdr:col>3</xdr:col>
      <xdr:colOff>514350</xdr:colOff>
      <xdr:row>375</xdr:row>
      <xdr:rowOff>476250</xdr:rowOff>
    </xdr:to>
    <xdr:pic>
      <xdr:nvPicPr>
        <xdr:cNvPr id="55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801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375</xdr:row>
      <xdr:rowOff>279400</xdr:rowOff>
    </xdr:from>
    <xdr:to>
      <xdr:col>10</xdr:col>
      <xdr:colOff>196850</xdr:colOff>
      <xdr:row>375</xdr:row>
      <xdr:rowOff>498475</xdr:rowOff>
    </xdr:to>
    <xdr:pic>
      <xdr:nvPicPr>
        <xdr:cNvPr id="55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78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375</xdr:row>
      <xdr:rowOff>257175</xdr:rowOff>
    </xdr:from>
    <xdr:to>
      <xdr:col>10</xdr:col>
      <xdr:colOff>514350</xdr:colOff>
      <xdr:row>375</xdr:row>
      <xdr:rowOff>476250</xdr:rowOff>
    </xdr:to>
    <xdr:pic>
      <xdr:nvPicPr>
        <xdr:cNvPr id="55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7801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375</xdr:row>
      <xdr:rowOff>279400</xdr:rowOff>
    </xdr:from>
    <xdr:to>
      <xdr:col>3</xdr:col>
      <xdr:colOff>196850</xdr:colOff>
      <xdr:row>375</xdr:row>
      <xdr:rowOff>498475</xdr:rowOff>
    </xdr:to>
    <xdr:pic>
      <xdr:nvPicPr>
        <xdr:cNvPr id="55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78037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375</xdr:row>
      <xdr:rowOff>257175</xdr:rowOff>
    </xdr:from>
    <xdr:to>
      <xdr:col>3</xdr:col>
      <xdr:colOff>514350</xdr:colOff>
      <xdr:row>375</xdr:row>
      <xdr:rowOff>476250</xdr:rowOff>
    </xdr:to>
    <xdr:pic>
      <xdr:nvPicPr>
        <xdr:cNvPr id="55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78015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380</xdr:row>
      <xdr:rowOff>279400</xdr:rowOff>
    </xdr:from>
    <xdr:to>
      <xdr:col>10</xdr:col>
      <xdr:colOff>196850</xdr:colOff>
      <xdr:row>380</xdr:row>
      <xdr:rowOff>498475</xdr:rowOff>
    </xdr:to>
    <xdr:pic>
      <xdr:nvPicPr>
        <xdr:cNvPr id="55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8142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380</xdr:row>
      <xdr:rowOff>257175</xdr:rowOff>
    </xdr:from>
    <xdr:to>
      <xdr:col>10</xdr:col>
      <xdr:colOff>514350</xdr:colOff>
      <xdr:row>380</xdr:row>
      <xdr:rowOff>476250</xdr:rowOff>
    </xdr:to>
    <xdr:pic>
      <xdr:nvPicPr>
        <xdr:cNvPr id="55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8140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380</xdr:row>
      <xdr:rowOff>279400</xdr:rowOff>
    </xdr:from>
    <xdr:to>
      <xdr:col>3</xdr:col>
      <xdr:colOff>196850</xdr:colOff>
      <xdr:row>380</xdr:row>
      <xdr:rowOff>498475</xdr:rowOff>
    </xdr:to>
    <xdr:pic>
      <xdr:nvPicPr>
        <xdr:cNvPr id="55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142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380</xdr:row>
      <xdr:rowOff>257175</xdr:rowOff>
    </xdr:from>
    <xdr:to>
      <xdr:col>3</xdr:col>
      <xdr:colOff>514350</xdr:colOff>
      <xdr:row>380</xdr:row>
      <xdr:rowOff>476250</xdr:rowOff>
    </xdr:to>
    <xdr:pic>
      <xdr:nvPicPr>
        <xdr:cNvPr id="55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140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380</xdr:row>
      <xdr:rowOff>279400</xdr:rowOff>
    </xdr:from>
    <xdr:to>
      <xdr:col>10</xdr:col>
      <xdr:colOff>196850</xdr:colOff>
      <xdr:row>380</xdr:row>
      <xdr:rowOff>498475</xdr:rowOff>
    </xdr:to>
    <xdr:pic>
      <xdr:nvPicPr>
        <xdr:cNvPr id="55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8142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380</xdr:row>
      <xdr:rowOff>257175</xdr:rowOff>
    </xdr:from>
    <xdr:to>
      <xdr:col>10</xdr:col>
      <xdr:colOff>514350</xdr:colOff>
      <xdr:row>380</xdr:row>
      <xdr:rowOff>476250</xdr:rowOff>
    </xdr:to>
    <xdr:pic>
      <xdr:nvPicPr>
        <xdr:cNvPr id="55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8140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380</xdr:row>
      <xdr:rowOff>279400</xdr:rowOff>
    </xdr:from>
    <xdr:to>
      <xdr:col>3</xdr:col>
      <xdr:colOff>196850</xdr:colOff>
      <xdr:row>380</xdr:row>
      <xdr:rowOff>498475</xdr:rowOff>
    </xdr:to>
    <xdr:pic>
      <xdr:nvPicPr>
        <xdr:cNvPr id="55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1428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380</xdr:row>
      <xdr:rowOff>257175</xdr:rowOff>
    </xdr:from>
    <xdr:to>
      <xdr:col>3</xdr:col>
      <xdr:colOff>514350</xdr:colOff>
      <xdr:row>380</xdr:row>
      <xdr:rowOff>476250</xdr:rowOff>
    </xdr:to>
    <xdr:pic>
      <xdr:nvPicPr>
        <xdr:cNvPr id="55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1406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384</xdr:row>
      <xdr:rowOff>279400</xdr:rowOff>
    </xdr:from>
    <xdr:to>
      <xdr:col>10</xdr:col>
      <xdr:colOff>196850</xdr:colOff>
      <xdr:row>384</xdr:row>
      <xdr:rowOff>498475</xdr:rowOff>
    </xdr:to>
    <xdr:pic>
      <xdr:nvPicPr>
        <xdr:cNvPr id="55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8416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384</xdr:row>
      <xdr:rowOff>257175</xdr:rowOff>
    </xdr:from>
    <xdr:to>
      <xdr:col>10</xdr:col>
      <xdr:colOff>514350</xdr:colOff>
      <xdr:row>384</xdr:row>
      <xdr:rowOff>476250</xdr:rowOff>
    </xdr:to>
    <xdr:pic>
      <xdr:nvPicPr>
        <xdr:cNvPr id="55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841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384</xdr:row>
      <xdr:rowOff>279400</xdr:rowOff>
    </xdr:from>
    <xdr:to>
      <xdr:col>3</xdr:col>
      <xdr:colOff>196850</xdr:colOff>
      <xdr:row>384</xdr:row>
      <xdr:rowOff>498475</xdr:rowOff>
    </xdr:to>
    <xdr:pic>
      <xdr:nvPicPr>
        <xdr:cNvPr id="55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416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384</xdr:row>
      <xdr:rowOff>257175</xdr:rowOff>
    </xdr:from>
    <xdr:to>
      <xdr:col>3</xdr:col>
      <xdr:colOff>514350</xdr:colOff>
      <xdr:row>384</xdr:row>
      <xdr:rowOff>476250</xdr:rowOff>
    </xdr:to>
    <xdr:pic>
      <xdr:nvPicPr>
        <xdr:cNvPr id="55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41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384</xdr:row>
      <xdr:rowOff>279400</xdr:rowOff>
    </xdr:from>
    <xdr:to>
      <xdr:col>10</xdr:col>
      <xdr:colOff>196850</xdr:colOff>
      <xdr:row>384</xdr:row>
      <xdr:rowOff>498475</xdr:rowOff>
    </xdr:to>
    <xdr:pic>
      <xdr:nvPicPr>
        <xdr:cNvPr id="55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8416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384</xdr:row>
      <xdr:rowOff>257175</xdr:rowOff>
    </xdr:from>
    <xdr:to>
      <xdr:col>10</xdr:col>
      <xdr:colOff>514350</xdr:colOff>
      <xdr:row>384</xdr:row>
      <xdr:rowOff>476250</xdr:rowOff>
    </xdr:to>
    <xdr:pic>
      <xdr:nvPicPr>
        <xdr:cNvPr id="55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841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384</xdr:row>
      <xdr:rowOff>279400</xdr:rowOff>
    </xdr:from>
    <xdr:to>
      <xdr:col>3</xdr:col>
      <xdr:colOff>196850</xdr:colOff>
      <xdr:row>384</xdr:row>
      <xdr:rowOff>498475</xdr:rowOff>
    </xdr:to>
    <xdr:pic>
      <xdr:nvPicPr>
        <xdr:cNvPr id="55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4162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384</xdr:row>
      <xdr:rowOff>257175</xdr:rowOff>
    </xdr:from>
    <xdr:to>
      <xdr:col>3</xdr:col>
      <xdr:colOff>514350</xdr:colOff>
      <xdr:row>384</xdr:row>
      <xdr:rowOff>476250</xdr:rowOff>
    </xdr:to>
    <xdr:pic>
      <xdr:nvPicPr>
        <xdr:cNvPr id="55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4140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389</xdr:row>
      <xdr:rowOff>279400</xdr:rowOff>
    </xdr:from>
    <xdr:to>
      <xdr:col>10</xdr:col>
      <xdr:colOff>196850</xdr:colOff>
      <xdr:row>389</xdr:row>
      <xdr:rowOff>498475</xdr:rowOff>
    </xdr:to>
    <xdr:pic>
      <xdr:nvPicPr>
        <xdr:cNvPr id="55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87562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389</xdr:row>
      <xdr:rowOff>257175</xdr:rowOff>
    </xdr:from>
    <xdr:to>
      <xdr:col>10</xdr:col>
      <xdr:colOff>514350</xdr:colOff>
      <xdr:row>389</xdr:row>
      <xdr:rowOff>476250</xdr:rowOff>
    </xdr:to>
    <xdr:pic>
      <xdr:nvPicPr>
        <xdr:cNvPr id="55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8754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389</xdr:row>
      <xdr:rowOff>279400</xdr:rowOff>
    </xdr:from>
    <xdr:to>
      <xdr:col>3</xdr:col>
      <xdr:colOff>196850</xdr:colOff>
      <xdr:row>389</xdr:row>
      <xdr:rowOff>498475</xdr:rowOff>
    </xdr:to>
    <xdr:pic>
      <xdr:nvPicPr>
        <xdr:cNvPr id="55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7562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389</xdr:row>
      <xdr:rowOff>257175</xdr:rowOff>
    </xdr:from>
    <xdr:to>
      <xdr:col>3</xdr:col>
      <xdr:colOff>514350</xdr:colOff>
      <xdr:row>389</xdr:row>
      <xdr:rowOff>476250</xdr:rowOff>
    </xdr:to>
    <xdr:pic>
      <xdr:nvPicPr>
        <xdr:cNvPr id="55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754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389</xdr:row>
      <xdr:rowOff>279400</xdr:rowOff>
    </xdr:from>
    <xdr:to>
      <xdr:col>10</xdr:col>
      <xdr:colOff>196850</xdr:colOff>
      <xdr:row>389</xdr:row>
      <xdr:rowOff>498475</xdr:rowOff>
    </xdr:to>
    <xdr:pic>
      <xdr:nvPicPr>
        <xdr:cNvPr id="55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87562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389</xdr:row>
      <xdr:rowOff>257175</xdr:rowOff>
    </xdr:from>
    <xdr:to>
      <xdr:col>10</xdr:col>
      <xdr:colOff>514350</xdr:colOff>
      <xdr:row>389</xdr:row>
      <xdr:rowOff>476250</xdr:rowOff>
    </xdr:to>
    <xdr:pic>
      <xdr:nvPicPr>
        <xdr:cNvPr id="55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8754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389</xdr:row>
      <xdr:rowOff>279400</xdr:rowOff>
    </xdr:from>
    <xdr:to>
      <xdr:col>3</xdr:col>
      <xdr:colOff>196850</xdr:colOff>
      <xdr:row>389</xdr:row>
      <xdr:rowOff>498475</xdr:rowOff>
    </xdr:to>
    <xdr:pic>
      <xdr:nvPicPr>
        <xdr:cNvPr id="55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87562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389</xdr:row>
      <xdr:rowOff>257175</xdr:rowOff>
    </xdr:from>
    <xdr:to>
      <xdr:col>3</xdr:col>
      <xdr:colOff>514350</xdr:colOff>
      <xdr:row>389</xdr:row>
      <xdr:rowOff>476250</xdr:rowOff>
    </xdr:to>
    <xdr:pic>
      <xdr:nvPicPr>
        <xdr:cNvPr id="55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87540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394</xdr:row>
      <xdr:rowOff>279400</xdr:rowOff>
    </xdr:from>
    <xdr:to>
      <xdr:col>10</xdr:col>
      <xdr:colOff>196850</xdr:colOff>
      <xdr:row>394</xdr:row>
      <xdr:rowOff>498475</xdr:rowOff>
    </xdr:to>
    <xdr:pic>
      <xdr:nvPicPr>
        <xdr:cNvPr id="55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90525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394</xdr:row>
      <xdr:rowOff>257175</xdr:rowOff>
    </xdr:from>
    <xdr:to>
      <xdr:col>10</xdr:col>
      <xdr:colOff>514350</xdr:colOff>
      <xdr:row>394</xdr:row>
      <xdr:rowOff>476250</xdr:rowOff>
    </xdr:to>
    <xdr:pic>
      <xdr:nvPicPr>
        <xdr:cNvPr id="55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90502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394</xdr:row>
      <xdr:rowOff>279400</xdr:rowOff>
    </xdr:from>
    <xdr:to>
      <xdr:col>3</xdr:col>
      <xdr:colOff>196850</xdr:colOff>
      <xdr:row>394</xdr:row>
      <xdr:rowOff>498475</xdr:rowOff>
    </xdr:to>
    <xdr:pic>
      <xdr:nvPicPr>
        <xdr:cNvPr id="55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0525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394</xdr:row>
      <xdr:rowOff>257175</xdr:rowOff>
    </xdr:from>
    <xdr:to>
      <xdr:col>3</xdr:col>
      <xdr:colOff>514350</xdr:colOff>
      <xdr:row>394</xdr:row>
      <xdr:rowOff>476250</xdr:rowOff>
    </xdr:to>
    <xdr:pic>
      <xdr:nvPicPr>
        <xdr:cNvPr id="55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0502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394</xdr:row>
      <xdr:rowOff>279400</xdr:rowOff>
    </xdr:from>
    <xdr:to>
      <xdr:col>10</xdr:col>
      <xdr:colOff>196850</xdr:colOff>
      <xdr:row>394</xdr:row>
      <xdr:rowOff>498475</xdr:rowOff>
    </xdr:to>
    <xdr:pic>
      <xdr:nvPicPr>
        <xdr:cNvPr id="55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90525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394</xdr:row>
      <xdr:rowOff>257175</xdr:rowOff>
    </xdr:from>
    <xdr:to>
      <xdr:col>10</xdr:col>
      <xdr:colOff>514350</xdr:colOff>
      <xdr:row>394</xdr:row>
      <xdr:rowOff>476250</xdr:rowOff>
    </xdr:to>
    <xdr:pic>
      <xdr:nvPicPr>
        <xdr:cNvPr id="55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90502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394</xdr:row>
      <xdr:rowOff>279400</xdr:rowOff>
    </xdr:from>
    <xdr:to>
      <xdr:col>3</xdr:col>
      <xdr:colOff>196850</xdr:colOff>
      <xdr:row>394</xdr:row>
      <xdr:rowOff>498475</xdr:rowOff>
    </xdr:to>
    <xdr:pic>
      <xdr:nvPicPr>
        <xdr:cNvPr id="55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0525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394</xdr:row>
      <xdr:rowOff>257175</xdr:rowOff>
    </xdr:from>
    <xdr:to>
      <xdr:col>3</xdr:col>
      <xdr:colOff>514350</xdr:colOff>
      <xdr:row>394</xdr:row>
      <xdr:rowOff>476250</xdr:rowOff>
    </xdr:to>
    <xdr:pic>
      <xdr:nvPicPr>
        <xdr:cNvPr id="55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0502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399</xdr:row>
      <xdr:rowOff>279400</xdr:rowOff>
    </xdr:from>
    <xdr:to>
      <xdr:col>10</xdr:col>
      <xdr:colOff>196850</xdr:colOff>
      <xdr:row>399</xdr:row>
      <xdr:rowOff>498475</xdr:rowOff>
    </xdr:to>
    <xdr:pic>
      <xdr:nvPicPr>
        <xdr:cNvPr id="55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9415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399</xdr:row>
      <xdr:rowOff>257175</xdr:rowOff>
    </xdr:from>
    <xdr:to>
      <xdr:col>10</xdr:col>
      <xdr:colOff>514350</xdr:colOff>
      <xdr:row>399</xdr:row>
      <xdr:rowOff>476250</xdr:rowOff>
    </xdr:to>
    <xdr:pic>
      <xdr:nvPicPr>
        <xdr:cNvPr id="55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9413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399</xdr:row>
      <xdr:rowOff>279400</xdr:rowOff>
    </xdr:from>
    <xdr:to>
      <xdr:col>3</xdr:col>
      <xdr:colOff>196850</xdr:colOff>
      <xdr:row>399</xdr:row>
      <xdr:rowOff>498475</xdr:rowOff>
    </xdr:to>
    <xdr:pic>
      <xdr:nvPicPr>
        <xdr:cNvPr id="55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415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399</xdr:row>
      <xdr:rowOff>257175</xdr:rowOff>
    </xdr:from>
    <xdr:to>
      <xdr:col>3</xdr:col>
      <xdr:colOff>514350</xdr:colOff>
      <xdr:row>399</xdr:row>
      <xdr:rowOff>476250</xdr:rowOff>
    </xdr:to>
    <xdr:pic>
      <xdr:nvPicPr>
        <xdr:cNvPr id="55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413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399</xdr:row>
      <xdr:rowOff>279400</xdr:rowOff>
    </xdr:from>
    <xdr:to>
      <xdr:col>10</xdr:col>
      <xdr:colOff>196850</xdr:colOff>
      <xdr:row>399</xdr:row>
      <xdr:rowOff>498475</xdr:rowOff>
    </xdr:to>
    <xdr:pic>
      <xdr:nvPicPr>
        <xdr:cNvPr id="55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9415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399</xdr:row>
      <xdr:rowOff>257175</xdr:rowOff>
    </xdr:from>
    <xdr:to>
      <xdr:col>10</xdr:col>
      <xdr:colOff>514350</xdr:colOff>
      <xdr:row>399</xdr:row>
      <xdr:rowOff>476250</xdr:rowOff>
    </xdr:to>
    <xdr:pic>
      <xdr:nvPicPr>
        <xdr:cNvPr id="55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9413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399</xdr:row>
      <xdr:rowOff>279400</xdr:rowOff>
    </xdr:from>
    <xdr:to>
      <xdr:col>3</xdr:col>
      <xdr:colOff>196850</xdr:colOff>
      <xdr:row>399</xdr:row>
      <xdr:rowOff>498475</xdr:rowOff>
    </xdr:to>
    <xdr:pic>
      <xdr:nvPicPr>
        <xdr:cNvPr id="56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294154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399</xdr:row>
      <xdr:rowOff>257175</xdr:rowOff>
    </xdr:from>
    <xdr:to>
      <xdr:col>3</xdr:col>
      <xdr:colOff>514350</xdr:colOff>
      <xdr:row>399</xdr:row>
      <xdr:rowOff>476250</xdr:rowOff>
    </xdr:to>
    <xdr:pic>
      <xdr:nvPicPr>
        <xdr:cNvPr id="56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294132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6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6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6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6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6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7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7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7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7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951</xdr:row>
      <xdr:rowOff>257175</xdr:rowOff>
    </xdr:from>
    <xdr:to>
      <xdr:col>10</xdr:col>
      <xdr:colOff>514350</xdr:colOff>
      <xdr:row>951</xdr:row>
      <xdr:rowOff>476250</xdr:rowOff>
    </xdr:to>
    <xdr:pic>
      <xdr:nvPicPr>
        <xdr:cNvPr id="57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951</xdr:row>
      <xdr:rowOff>257175</xdr:rowOff>
    </xdr:from>
    <xdr:to>
      <xdr:col>3</xdr:col>
      <xdr:colOff>514350</xdr:colOff>
      <xdr:row>951</xdr:row>
      <xdr:rowOff>476250</xdr:rowOff>
    </xdr:to>
    <xdr:pic>
      <xdr:nvPicPr>
        <xdr:cNvPr id="57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163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951</xdr:row>
      <xdr:rowOff>279400</xdr:rowOff>
    </xdr:from>
    <xdr:to>
      <xdr:col>10</xdr:col>
      <xdr:colOff>196850</xdr:colOff>
      <xdr:row>951</xdr:row>
      <xdr:rowOff>498475</xdr:rowOff>
    </xdr:to>
    <xdr:pic>
      <xdr:nvPicPr>
        <xdr:cNvPr id="5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951</xdr:row>
      <xdr:rowOff>279400</xdr:rowOff>
    </xdr:from>
    <xdr:to>
      <xdr:col>3</xdr:col>
      <xdr:colOff>196850</xdr:colOff>
      <xdr:row>951</xdr:row>
      <xdr:rowOff>498475</xdr:rowOff>
    </xdr:to>
    <xdr:pic>
      <xdr:nvPicPr>
        <xdr:cNvPr id="57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165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951</xdr:row>
      <xdr:rowOff>228600</xdr:rowOff>
    </xdr:from>
    <xdr:to>
      <xdr:col>3</xdr:col>
      <xdr:colOff>260350</xdr:colOff>
      <xdr:row>951</xdr:row>
      <xdr:rowOff>447675</xdr:rowOff>
    </xdr:to>
    <xdr:pic>
      <xdr:nvPicPr>
        <xdr:cNvPr id="5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16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951</xdr:row>
      <xdr:rowOff>231775</xdr:rowOff>
    </xdr:from>
    <xdr:to>
      <xdr:col>3</xdr:col>
      <xdr:colOff>539750</xdr:colOff>
      <xdr:row>951</xdr:row>
      <xdr:rowOff>450850</xdr:rowOff>
    </xdr:to>
    <xdr:pic>
      <xdr:nvPicPr>
        <xdr:cNvPr id="5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160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951</xdr:row>
      <xdr:rowOff>228600</xdr:rowOff>
    </xdr:from>
    <xdr:to>
      <xdr:col>10</xdr:col>
      <xdr:colOff>260350</xdr:colOff>
      <xdr:row>951</xdr:row>
      <xdr:rowOff>447675</xdr:rowOff>
    </xdr:to>
    <xdr:pic>
      <xdr:nvPicPr>
        <xdr:cNvPr id="5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316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951</xdr:row>
      <xdr:rowOff>231775</xdr:rowOff>
    </xdr:from>
    <xdr:to>
      <xdr:col>10</xdr:col>
      <xdr:colOff>539750</xdr:colOff>
      <xdr:row>951</xdr:row>
      <xdr:rowOff>450850</xdr:rowOff>
    </xdr:to>
    <xdr:pic>
      <xdr:nvPicPr>
        <xdr:cNvPr id="5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3160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951</xdr:row>
      <xdr:rowOff>228600</xdr:rowOff>
    </xdr:from>
    <xdr:to>
      <xdr:col>3</xdr:col>
      <xdr:colOff>260350</xdr:colOff>
      <xdr:row>951</xdr:row>
      <xdr:rowOff>447675</xdr:rowOff>
    </xdr:to>
    <xdr:pic>
      <xdr:nvPicPr>
        <xdr:cNvPr id="5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16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951</xdr:row>
      <xdr:rowOff>231775</xdr:rowOff>
    </xdr:from>
    <xdr:to>
      <xdr:col>3</xdr:col>
      <xdr:colOff>539750</xdr:colOff>
      <xdr:row>951</xdr:row>
      <xdr:rowOff>450850</xdr:rowOff>
    </xdr:to>
    <xdr:pic>
      <xdr:nvPicPr>
        <xdr:cNvPr id="5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160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951</xdr:row>
      <xdr:rowOff>228600</xdr:rowOff>
    </xdr:from>
    <xdr:to>
      <xdr:col>3</xdr:col>
      <xdr:colOff>260350</xdr:colOff>
      <xdr:row>951</xdr:row>
      <xdr:rowOff>447675</xdr:rowOff>
    </xdr:to>
    <xdr:pic>
      <xdr:nvPicPr>
        <xdr:cNvPr id="5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16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951</xdr:row>
      <xdr:rowOff>231775</xdr:rowOff>
    </xdr:from>
    <xdr:to>
      <xdr:col>3</xdr:col>
      <xdr:colOff>539750</xdr:colOff>
      <xdr:row>951</xdr:row>
      <xdr:rowOff>450850</xdr:rowOff>
    </xdr:to>
    <xdr:pic>
      <xdr:nvPicPr>
        <xdr:cNvPr id="5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160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951</xdr:row>
      <xdr:rowOff>228600</xdr:rowOff>
    </xdr:from>
    <xdr:to>
      <xdr:col>10</xdr:col>
      <xdr:colOff>260350</xdr:colOff>
      <xdr:row>951</xdr:row>
      <xdr:rowOff>447675</xdr:rowOff>
    </xdr:to>
    <xdr:pic>
      <xdr:nvPicPr>
        <xdr:cNvPr id="5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316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951</xdr:row>
      <xdr:rowOff>231775</xdr:rowOff>
    </xdr:from>
    <xdr:to>
      <xdr:col>10</xdr:col>
      <xdr:colOff>539750</xdr:colOff>
      <xdr:row>951</xdr:row>
      <xdr:rowOff>450850</xdr:rowOff>
    </xdr:to>
    <xdr:pic>
      <xdr:nvPicPr>
        <xdr:cNvPr id="57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3160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951</xdr:row>
      <xdr:rowOff>228600</xdr:rowOff>
    </xdr:from>
    <xdr:to>
      <xdr:col>3</xdr:col>
      <xdr:colOff>260350</xdr:colOff>
      <xdr:row>951</xdr:row>
      <xdr:rowOff>447675</xdr:rowOff>
    </xdr:to>
    <xdr:pic>
      <xdr:nvPicPr>
        <xdr:cNvPr id="5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16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951</xdr:row>
      <xdr:rowOff>287804</xdr:rowOff>
    </xdr:from>
    <xdr:to>
      <xdr:col>3</xdr:col>
      <xdr:colOff>465044</xdr:colOff>
      <xdr:row>951</xdr:row>
      <xdr:rowOff>506879</xdr:rowOff>
    </xdr:to>
    <xdr:pic>
      <xdr:nvPicPr>
        <xdr:cNvPr id="57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73166492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951</xdr:row>
      <xdr:rowOff>228600</xdr:rowOff>
    </xdr:from>
    <xdr:to>
      <xdr:col>10</xdr:col>
      <xdr:colOff>260350</xdr:colOff>
      <xdr:row>951</xdr:row>
      <xdr:rowOff>447675</xdr:rowOff>
    </xdr:to>
    <xdr:pic>
      <xdr:nvPicPr>
        <xdr:cNvPr id="5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3160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951</xdr:row>
      <xdr:rowOff>231775</xdr:rowOff>
    </xdr:from>
    <xdr:to>
      <xdr:col>10</xdr:col>
      <xdr:colOff>539750</xdr:colOff>
      <xdr:row>951</xdr:row>
      <xdr:rowOff>450850</xdr:rowOff>
    </xdr:to>
    <xdr:pic>
      <xdr:nvPicPr>
        <xdr:cNvPr id="57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31608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7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7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7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7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7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7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7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7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7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8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8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8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8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955</xdr:row>
      <xdr:rowOff>257175</xdr:rowOff>
    </xdr:from>
    <xdr:to>
      <xdr:col>10</xdr:col>
      <xdr:colOff>514350</xdr:colOff>
      <xdr:row>955</xdr:row>
      <xdr:rowOff>476250</xdr:rowOff>
    </xdr:to>
    <xdr:pic>
      <xdr:nvPicPr>
        <xdr:cNvPr id="58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955</xdr:row>
      <xdr:rowOff>257175</xdr:rowOff>
    </xdr:from>
    <xdr:to>
      <xdr:col>3</xdr:col>
      <xdr:colOff>514350</xdr:colOff>
      <xdr:row>955</xdr:row>
      <xdr:rowOff>476250</xdr:rowOff>
    </xdr:to>
    <xdr:pic>
      <xdr:nvPicPr>
        <xdr:cNvPr id="58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34548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955</xdr:row>
      <xdr:rowOff>279400</xdr:rowOff>
    </xdr:from>
    <xdr:to>
      <xdr:col>10</xdr:col>
      <xdr:colOff>196850</xdr:colOff>
      <xdr:row>955</xdr:row>
      <xdr:rowOff>498475</xdr:rowOff>
    </xdr:to>
    <xdr:pic>
      <xdr:nvPicPr>
        <xdr:cNvPr id="58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955</xdr:row>
      <xdr:rowOff>279400</xdr:rowOff>
    </xdr:from>
    <xdr:to>
      <xdr:col>3</xdr:col>
      <xdr:colOff>196850</xdr:colOff>
      <xdr:row>955</xdr:row>
      <xdr:rowOff>498475</xdr:rowOff>
    </xdr:to>
    <xdr:pic>
      <xdr:nvPicPr>
        <xdr:cNvPr id="58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34571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955</xdr:row>
      <xdr:rowOff>228600</xdr:rowOff>
    </xdr:from>
    <xdr:to>
      <xdr:col>3</xdr:col>
      <xdr:colOff>260350</xdr:colOff>
      <xdr:row>955</xdr:row>
      <xdr:rowOff>447675</xdr:rowOff>
    </xdr:to>
    <xdr:pic>
      <xdr:nvPicPr>
        <xdr:cNvPr id="58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452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955</xdr:row>
      <xdr:rowOff>231775</xdr:rowOff>
    </xdr:from>
    <xdr:to>
      <xdr:col>3</xdr:col>
      <xdr:colOff>539750</xdr:colOff>
      <xdr:row>955</xdr:row>
      <xdr:rowOff>450850</xdr:rowOff>
    </xdr:to>
    <xdr:pic>
      <xdr:nvPicPr>
        <xdr:cNvPr id="58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452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955</xdr:row>
      <xdr:rowOff>228600</xdr:rowOff>
    </xdr:from>
    <xdr:to>
      <xdr:col>10</xdr:col>
      <xdr:colOff>260350</xdr:colOff>
      <xdr:row>955</xdr:row>
      <xdr:rowOff>447675</xdr:rowOff>
    </xdr:to>
    <xdr:pic>
      <xdr:nvPicPr>
        <xdr:cNvPr id="59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3452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955</xdr:row>
      <xdr:rowOff>231775</xdr:rowOff>
    </xdr:from>
    <xdr:to>
      <xdr:col>10</xdr:col>
      <xdr:colOff>539750</xdr:colOff>
      <xdr:row>955</xdr:row>
      <xdr:rowOff>450850</xdr:rowOff>
    </xdr:to>
    <xdr:pic>
      <xdr:nvPicPr>
        <xdr:cNvPr id="59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3452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955</xdr:row>
      <xdr:rowOff>228600</xdr:rowOff>
    </xdr:from>
    <xdr:to>
      <xdr:col>3</xdr:col>
      <xdr:colOff>260350</xdr:colOff>
      <xdr:row>955</xdr:row>
      <xdr:rowOff>447675</xdr:rowOff>
    </xdr:to>
    <xdr:pic>
      <xdr:nvPicPr>
        <xdr:cNvPr id="59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452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955</xdr:row>
      <xdr:rowOff>231775</xdr:rowOff>
    </xdr:from>
    <xdr:to>
      <xdr:col>3</xdr:col>
      <xdr:colOff>539750</xdr:colOff>
      <xdr:row>955</xdr:row>
      <xdr:rowOff>450850</xdr:rowOff>
    </xdr:to>
    <xdr:pic>
      <xdr:nvPicPr>
        <xdr:cNvPr id="59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452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955</xdr:row>
      <xdr:rowOff>228600</xdr:rowOff>
    </xdr:from>
    <xdr:to>
      <xdr:col>3</xdr:col>
      <xdr:colOff>260350</xdr:colOff>
      <xdr:row>955</xdr:row>
      <xdr:rowOff>447675</xdr:rowOff>
    </xdr:to>
    <xdr:pic>
      <xdr:nvPicPr>
        <xdr:cNvPr id="59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452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955</xdr:row>
      <xdr:rowOff>231775</xdr:rowOff>
    </xdr:from>
    <xdr:to>
      <xdr:col>3</xdr:col>
      <xdr:colOff>539750</xdr:colOff>
      <xdr:row>955</xdr:row>
      <xdr:rowOff>450850</xdr:rowOff>
    </xdr:to>
    <xdr:pic>
      <xdr:nvPicPr>
        <xdr:cNvPr id="59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21125" y="73452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955</xdr:row>
      <xdr:rowOff>228600</xdr:rowOff>
    </xdr:from>
    <xdr:to>
      <xdr:col>10</xdr:col>
      <xdr:colOff>260350</xdr:colOff>
      <xdr:row>955</xdr:row>
      <xdr:rowOff>447675</xdr:rowOff>
    </xdr:to>
    <xdr:pic>
      <xdr:nvPicPr>
        <xdr:cNvPr id="59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3452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955</xdr:row>
      <xdr:rowOff>231775</xdr:rowOff>
    </xdr:from>
    <xdr:to>
      <xdr:col>10</xdr:col>
      <xdr:colOff>539750</xdr:colOff>
      <xdr:row>955</xdr:row>
      <xdr:rowOff>450850</xdr:rowOff>
    </xdr:to>
    <xdr:pic>
      <xdr:nvPicPr>
        <xdr:cNvPr id="59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3452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955</xdr:row>
      <xdr:rowOff>228600</xdr:rowOff>
    </xdr:from>
    <xdr:to>
      <xdr:col>3</xdr:col>
      <xdr:colOff>260350</xdr:colOff>
      <xdr:row>955</xdr:row>
      <xdr:rowOff>447675</xdr:rowOff>
    </xdr:to>
    <xdr:pic>
      <xdr:nvPicPr>
        <xdr:cNvPr id="59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70300" y="73452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245969</xdr:colOff>
      <xdr:row>955</xdr:row>
      <xdr:rowOff>287804</xdr:rowOff>
    </xdr:from>
    <xdr:to>
      <xdr:col>3</xdr:col>
      <xdr:colOff>465044</xdr:colOff>
      <xdr:row>955</xdr:row>
      <xdr:rowOff>506879</xdr:rowOff>
    </xdr:to>
    <xdr:pic>
      <xdr:nvPicPr>
        <xdr:cNvPr id="59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46419" y="734579579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955</xdr:row>
      <xdr:rowOff>228600</xdr:rowOff>
    </xdr:from>
    <xdr:to>
      <xdr:col>10</xdr:col>
      <xdr:colOff>260350</xdr:colOff>
      <xdr:row>955</xdr:row>
      <xdr:rowOff>447675</xdr:rowOff>
    </xdr:to>
    <xdr:pic>
      <xdr:nvPicPr>
        <xdr:cNvPr id="59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19475" y="734520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955</xdr:row>
      <xdr:rowOff>231775</xdr:rowOff>
    </xdr:from>
    <xdr:to>
      <xdr:col>10</xdr:col>
      <xdr:colOff>539750</xdr:colOff>
      <xdr:row>955</xdr:row>
      <xdr:rowOff>450850</xdr:rowOff>
    </xdr:to>
    <xdr:pic>
      <xdr:nvPicPr>
        <xdr:cNvPr id="59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70300" y="734523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618</xdr:row>
      <xdr:rowOff>279400</xdr:rowOff>
    </xdr:from>
    <xdr:to>
      <xdr:col>10</xdr:col>
      <xdr:colOff>196850</xdr:colOff>
      <xdr:row>618</xdr:row>
      <xdr:rowOff>498475</xdr:rowOff>
    </xdr:to>
    <xdr:pic>
      <xdr:nvPicPr>
        <xdr:cNvPr id="59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670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618</xdr:row>
      <xdr:rowOff>257175</xdr:rowOff>
    </xdr:from>
    <xdr:to>
      <xdr:col>10</xdr:col>
      <xdr:colOff>514350</xdr:colOff>
      <xdr:row>618</xdr:row>
      <xdr:rowOff>476250</xdr:rowOff>
    </xdr:to>
    <xdr:pic>
      <xdr:nvPicPr>
        <xdr:cNvPr id="59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669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618</xdr:row>
      <xdr:rowOff>279400</xdr:rowOff>
    </xdr:from>
    <xdr:to>
      <xdr:col>3</xdr:col>
      <xdr:colOff>196850</xdr:colOff>
      <xdr:row>618</xdr:row>
      <xdr:rowOff>498475</xdr:rowOff>
    </xdr:to>
    <xdr:pic>
      <xdr:nvPicPr>
        <xdr:cNvPr id="59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67004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618</xdr:row>
      <xdr:rowOff>257175</xdr:rowOff>
    </xdr:from>
    <xdr:to>
      <xdr:col>3</xdr:col>
      <xdr:colOff>514350</xdr:colOff>
      <xdr:row>618</xdr:row>
      <xdr:rowOff>476250</xdr:rowOff>
    </xdr:to>
    <xdr:pic>
      <xdr:nvPicPr>
        <xdr:cNvPr id="59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66982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625</xdr:row>
      <xdr:rowOff>279400</xdr:rowOff>
    </xdr:from>
    <xdr:to>
      <xdr:col>10</xdr:col>
      <xdr:colOff>196850</xdr:colOff>
      <xdr:row>625</xdr:row>
      <xdr:rowOff>498475</xdr:rowOff>
    </xdr:to>
    <xdr:pic>
      <xdr:nvPicPr>
        <xdr:cNvPr id="59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7317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625</xdr:row>
      <xdr:rowOff>257175</xdr:rowOff>
    </xdr:from>
    <xdr:to>
      <xdr:col>10</xdr:col>
      <xdr:colOff>514350</xdr:colOff>
      <xdr:row>625</xdr:row>
      <xdr:rowOff>476250</xdr:rowOff>
    </xdr:to>
    <xdr:pic>
      <xdr:nvPicPr>
        <xdr:cNvPr id="59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7315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625</xdr:row>
      <xdr:rowOff>279400</xdr:rowOff>
    </xdr:from>
    <xdr:to>
      <xdr:col>3</xdr:col>
      <xdr:colOff>196850</xdr:colOff>
      <xdr:row>625</xdr:row>
      <xdr:rowOff>498475</xdr:rowOff>
    </xdr:to>
    <xdr:pic>
      <xdr:nvPicPr>
        <xdr:cNvPr id="59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317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625</xdr:row>
      <xdr:rowOff>257175</xdr:rowOff>
    </xdr:from>
    <xdr:to>
      <xdr:col>3</xdr:col>
      <xdr:colOff>514350</xdr:colOff>
      <xdr:row>625</xdr:row>
      <xdr:rowOff>476250</xdr:rowOff>
    </xdr:to>
    <xdr:pic>
      <xdr:nvPicPr>
        <xdr:cNvPr id="59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7315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632</xdr:row>
      <xdr:rowOff>279400</xdr:rowOff>
    </xdr:from>
    <xdr:to>
      <xdr:col>10</xdr:col>
      <xdr:colOff>196850</xdr:colOff>
      <xdr:row>632</xdr:row>
      <xdr:rowOff>498475</xdr:rowOff>
    </xdr:to>
    <xdr:pic>
      <xdr:nvPicPr>
        <xdr:cNvPr id="59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7941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632</xdr:row>
      <xdr:rowOff>257175</xdr:rowOff>
    </xdr:from>
    <xdr:to>
      <xdr:col>10</xdr:col>
      <xdr:colOff>514350</xdr:colOff>
      <xdr:row>632</xdr:row>
      <xdr:rowOff>476250</xdr:rowOff>
    </xdr:to>
    <xdr:pic>
      <xdr:nvPicPr>
        <xdr:cNvPr id="59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7939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632</xdr:row>
      <xdr:rowOff>279400</xdr:rowOff>
    </xdr:from>
    <xdr:to>
      <xdr:col>3</xdr:col>
      <xdr:colOff>196850</xdr:colOff>
      <xdr:row>632</xdr:row>
      <xdr:rowOff>498475</xdr:rowOff>
    </xdr:to>
    <xdr:pic>
      <xdr:nvPicPr>
        <xdr:cNvPr id="59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7941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632</xdr:row>
      <xdr:rowOff>257175</xdr:rowOff>
    </xdr:from>
    <xdr:to>
      <xdr:col>3</xdr:col>
      <xdr:colOff>514350</xdr:colOff>
      <xdr:row>632</xdr:row>
      <xdr:rowOff>476250</xdr:rowOff>
    </xdr:to>
    <xdr:pic>
      <xdr:nvPicPr>
        <xdr:cNvPr id="59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7939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636</xdr:row>
      <xdr:rowOff>279400</xdr:rowOff>
    </xdr:from>
    <xdr:to>
      <xdr:col>10</xdr:col>
      <xdr:colOff>196850</xdr:colOff>
      <xdr:row>636</xdr:row>
      <xdr:rowOff>498475</xdr:rowOff>
    </xdr:to>
    <xdr:pic>
      <xdr:nvPicPr>
        <xdr:cNvPr id="59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82215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636</xdr:row>
      <xdr:rowOff>257175</xdr:rowOff>
    </xdr:from>
    <xdr:to>
      <xdr:col>10</xdr:col>
      <xdr:colOff>514350</xdr:colOff>
      <xdr:row>636</xdr:row>
      <xdr:rowOff>476250</xdr:rowOff>
    </xdr:to>
    <xdr:pic>
      <xdr:nvPicPr>
        <xdr:cNvPr id="59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82193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636</xdr:row>
      <xdr:rowOff>279400</xdr:rowOff>
    </xdr:from>
    <xdr:to>
      <xdr:col>3</xdr:col>
      <xdr:colOff>196850</xdr:colOff>
      <xdr:row>636</xdr:row>
      <xdr:rowOff>498475</xdr:rowOff>
    </xdr:to>
    <xdr:pic>
      <xdr:nvPicPr>
        <xdr:cNvPr id="59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2215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636</xdr:row>
      <xdr:rowOff>257175</xdr:rowOff>
    </xdr:from>
    <xdr:to>
      <xdr:col>3</xdr:col>
      <xdr:colOff>514350</xdr:colOff>
      <xdr:row>636</xdr:row>
      <xdr:rowOff>476250</xdr:rowOff>
    </xdr:to>
    <xdr:pic>
      <xdr:nvPicPr>
        <xdr:cNvPr id="59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2193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639</xdr:row>
      <xdr:rowOff>279400</xdr:rowOff>
    </xdr:from>
    <xdr:to>
      <xdr:col>10</xdr:col>
      <xdr:colOff>196850</xdr:colOff>
      <xdr:row>639</xdr:row>
      <xdr:rowOff>498475</xdr:rowOff>
    </xdr:to>
    <xdr:pic>
      <xdr:nvPicPr>
        <xdr:cNvPr id="59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84768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639</xdr:row>
      <xdr:rowOff>257175</xdr:rowOff>
    </xdr:from>
    <xdr:to>
      <xdr:col>10</xdr:col>
      <xdr:colOff>514350</xdr:colOff>
      <xdr:row>639</xdr:row>
      <xdr:rowOff>476250</xdr:rowOff>
    </xdr:to>
    <xdr:pic>
      <xdr:nvPicPr>
        <xdr:cNvPr id="59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84746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639</xdr:row>
      <xdr:rowOff>279400</xdr:rowOff>
    </xdr:from>
    <xdr:to>
      <xdr:col>3</xdr:col>
      <xdr:colOff>196850</xdr:colOff>
      <xdr:row>639</xdr:row>
      <xdr:rowOff>498475</xdr:rowOff>
    </xdr:to>
    <xdr:pic>
      <xdr:nvPicPr>
        <xdr:cNvPr id="59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84768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639</xdr:row>
      <xdr:rowOff>257175</xdr:rowOff>
    </xdr:from>
    <xdr:to>
      <xdr:col>3</xdr:col>
      <xdr:colOff>514350</xdr:colOff>
      <xdr:row>639</xdr:row>
      <xdr:rowOff>476250</xdr:rowOff>
    </xdr:to>
    <xdr:pic>
      <xdr:nvPicPr>
        <xdr:cNvPr id="59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84746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649</xdr:row>
      <xdr:rowOff>279400</xdr:rowOff>
    </xdr:from>
    <xdr:to>
      <xdr:col>10</xdr:col>
      <xdr:colOff>196850</xdr:colOff>
      <xdr:row>649</xdr:row>
      <xdr:rowOff>498475</xdr:rowOff>
    </xdr:to>
    <xdr:pic>
      <xdr:nvPicPr>
        <xdr:cNvPr id="59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9313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649</xdr:row>
      <xdr:rowOff>257175</xdr:rowOff>
    </xdr:from>
    <xdr:to>
      <xdr:col>10</xdr:col>
      <xdr:colOff>514350</xdr:colOff>
      <xdr:row>649</xdr:row>
      <xdr:rowOff>476250</xdr:rowOff>
    </xdr:to>
    <xdr:pic>
      <xdr:nvPicPr>
        <xdr:cNvPr id="59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9310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649</xdr:row>
      <xdr:rowOff>279400</xdr:rowOff>
    </xdr:from>
    <xdr:to>
      <xdr:col>3</xdr:col>
      <xdr:colOff>196850</xdr:colOff>
      <xdr:row>649</xdr:row>
      <xdr:rowOff>498475</xdr:rowOff>
    </xdr:to>
    <xdr:pic>
      <xdr:nvPicPr>
        <xdr:cNvPr id="59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3131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649</xdr:row>
      <xdr:rowOff>257175</xdr:rowOff>
    </xdr:from>
    <xdr:to>
      <xdr:col>3</xdr:col>
      <xdr:colOff>514350</xdr:colOff>
      <xdr:row>649</xdr:row>
      <xdr:rowOff>476250</xdr:rowOff>
    </xdr:to>
    <xdr:pic>
      <xdr:nvPicPr>
        <xdr:cNvPr id="59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3109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656</xdr:row>
      <xdr:rowOff>279400</xdr:rowOff>
    </xdr:from>
    <xdr:to>
      <xdr:col>10</xdr:col>
      <xdr:colOff>196850</xdr:colOff>
      <xdr:row>656</xdr:row>
      <xdr:rowOff>498475</xdr:rowOff>
    </xdr:to>
    <xdr:pic>
      <xdr:nvPicPr>
        <xdr:cNvPr id="59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98684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656</xdr:row>
      <xdr:rowOff>257175</xdr:rowOff>
    </xdr:from>
    <xdr:to>
      <xdr:col>10</xdr:col>
      <xdr:colOff>514350</xdr:colOff>
      <xdr:row>656</xdr:row>
      <xdr:rowOff>476250</xdr:rowOff>
    </xdr:to>
    <xdr:pic>
      <xdr:nvPicPr>
        <xdr:cNvPr id="59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98662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656</xdr:row>
      <xdr:rowOff>279400</xdr:rowOff>
    </xdr:from>
    <xdr:to>
      <xdr:col>3</xdr:col>
      <xdr:colOff>196850</xdr:colOff>
      <xdr:row>656</xdr:row>
      <xdr:rowOff>498475</xdr:rowOff>
    </xdr:to>
    <xdr:pic>
      <xdr:nvPicPr>
        <xdr:cNvPr id="59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98684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656</xdr:row>
      <xdr:rowOff>257175</xdr:rowOff>
    </xdr:from>
    <xdr:to>
      <xdr:col>3</xdr:col>
      <xdr:colOff>514350</xdr:colOff>
      <xdr:row>656</xdr:row>
      <xdr:rowOff>476250</xdr:rowOff>
    </xdr:to>
    <xdr:pic>
      <xdr:nvPicPr>
        <xdr:cNvPr id="59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98662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663</xdr:row>
      <xdr:rowOff>279400</xdr:rowOff>
    </xdr:from>
    <xdr:to>
      <xdr:col>10</xdr:col>
      <xdr:colOff>196850</xdr:colOff>
      <xdr:row>663</xdr:row>
      <xdr:rowOff>498475</xdr:rowOff>
    </xdr:to>
    <xdr:pic>
      <xdr:nvPicPr>
        <xdr:cNvPr id="59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0387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663</xdr:row>
      <xdr:rowOff>257175</xdr:rowOff>
    </xdr:from>
    <xdr:to>
      <xdr:col>10</xdr:col>
      <xdr:colOff>514350</xdr:colOff>
      <xdr:row>663</xdr:row>
      <xdr:rowOff>476250</xdr:rowOff>
    </xdr:to>
    <xdr:pic>
      <xdr:nvPicPr>
        <xdr:cNvPr id="59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03853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663</xdr:row>
      <xdr:rowOff>279400</xdr:rowOff>
    </xdr:from>
    <xdr:to>
      <xdr:col>3</xdr:col>
      <xdr:colOff>196850</xdr:colOff>
      <xdr:row>663</xdr:row>
      <xdr:rowOff>498475</xdr:rowOff>
    </xdr:to>
    <xdr:pic>
      <xdr:nvPicPr>
        <xdr:cNvPr id="59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0387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663</xdr:row>
      <xdr:rowOff>257175</xdr:rowOff>
    </xdr:from>
    <xdr:to>
      <xdr:col>3</xdr:col>
      <xdr:colOff>514350</xdr:colOff>
      <xdr:row>663</xdr:row>
      <xdr:rowOff>476250</xdr:rowOff>
    </xdr:to>
    <xdr:pic>
      <xdr:nvPicPr>
        <xdr:cNvPr id="59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03853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667</xdr:row>
      <xdr:rowOff>279400</xdr:rowOff>
    </xdr:from>
    <xdr:to>
      <xdr:col>10</xdr:col>
      <xdr:colOff>196850</xdr:colOff>
      <xdr:row>667</xdr:row>
      <xdr:rowOff>498475</xdr:rowOff>
    </xdr:to>
    <xdr:pic>
      <xdr:nvPicPr>
        <xdr:cNvPr id="59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0652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667</xdr:row>
      <xdr:rowOff>257175</xdr:rowOff>
    </xdr:from>
    <xdr:to>
      <xdr:col>10</xdr:col>
      <xdr:colOff>514350</xdr:colOff>
      <xdr:row>667</xdr:row>
      <xdr:rowOff>476250</xdr:rowOff>
    </xdr:to>
    <xdr:pic>
      <xdr:nvPicPr>
        <xdr:cNvPr id="59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0650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667</xdr:row>
      <xdr:rowOff>279400</xdr:rowOff>
    </xdr:from>
    <xdr:to>
      <xdr:col>3</xdr:col>
      <xdr:colOff>196850</xdr:colOff>
      <xdr:row>667</xdr:row>
      <xdr:rowOff>498475</xdr:rowOff>
    </xdr:to>
    <xdr:pic>
      <xdr:nvPicPr>
        <xdr:cNvPr id="59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0652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667</xdr:row>
      <xdr:rowOff>257175</xdr:rowOff>
    </xdr:from>
    <xdr:to>
      <xdr:col>3</xdr:col>
      <xdr:colOff>514350</xdr:colOff>
      <xdr:row>667</xdr:row>
      <xdr:rowOff>476250</xdr:rowOff>
    </xdr:to>
    <xdr:pic>
      <xdr:nvPicPr>
        <xdr:cNvPr id="59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0650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410</xdr:row>
      <xdr:rowOff>279400</xdr:rowOff>
    </xdr:from>
    <xdr:to>
      <xdr:col>10</xdr:col>
      <xdr:colOff>196850</xdr:colOff>
      <xdr:row>410</xdr:row>
      <xdr:rowOff>498475</xdr:rowOff>
    </xdr:to>
    <xdr:pic>
      <xdr:nvPicPr>
        <xdr:cNvPr id="59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0324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410</xdr:row>
      <xdr:rowOff>257175</xdr:rowOff>
    </xdr:from>
    <xdr:to>
      <xdr:col>10</xdr:col>
      <xdr:colOff>514350</xdr:colOff>
      <xdr:row>410</xdr:row>
      <xdr:rowOff>476250</xdr:rowOff>
    </xdr:to>
    <xdr:pic>
      <xdr:nvPicPr>
        <xdr:cNvPr id="59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0321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410</xdr:row>
      <xdr:rowOff>279400</xdr:rowOff>
    </xdr:from>
    <xdr:to>
      <xdr:col>3</xdr:col>
      <xdr:colOff>196850</xdr:colOff>
      <xdr:row>410</xdr:row>
      <xdr:rowOff>498475</xdr:rowOff>
    </xdr:to>
    <xdr:pic>
      <xdr:nvPicPr>
        <xdr:cNvPr id="59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324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410</xdr:row>
      <xdr:rowOff>257175</xdr:rowOff>
    </xdr:from>
    <xdr:to>
      <xdr:col>3</xdr:col>
      <xdr:colOff>514350</xdr:colOff>
      <xdr:row>410</xdr:row>
      <xdr:rowOff>476250</xdr:rowOff>
    </xdr:to>
    <xdr:pic>
      <xdr:nvPicPr>
        <xdr:cNvPr id="59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321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417</xdr:row>
      <xdr:rowOff>279400</xdr:rowOff>
    </xdr:from>
    <xdr:to>
      <xdr:col>10</xdr:col>
      <xdr:colOff>196850</xdr:colOff>
      <xdr:row>417</xdr:row>
      <xdr:rowOff>498475</xdr:rowOff>
    </xdr:to>
    <xdr:pic>
      <xdr:nvPicPr>
        <xdr:cNvPr id="59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0935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417</xdr:row>
      <xdr:rowOff>257175</xdr:rowOff>
    </xdr:from>
    <xdr:to>
      <xdr:col>10</xdr:col>
      <xdr:colOff>514350</xdr:colOff>
      <xdr:row>417</xdr:row>
      <xdr:rowOff>476250</xdr:rowOff>
    </xdr:to>
    <xdr:pic>
      <xdr:nvPicPr>
        <xdr:cNvPr id="59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0933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417</xdr:row>
      <xdr:rowOff>279400</xdr:rowOff>
    </xdr:from>
    <xdr:to>
      <xdr:col>3</xdr:col>
      <xdr:colOff>196850</xdr:colOff>
      <xdr:row>417</xdr:row>
      <xdr:rowOff>498475</xdr:rowOff>
    </xdr:to>
    <xdr:pic>
      <xdr:nvPicPr>
        <xdr:cNvPr id="59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09356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417</xdr:row>
      <xdr:rowOff>257175</xdr:rowOff>
    </xdr:from>
    <xdr:to>
      <xdr:col>3</xdr:col>
      <xdr:colOff>514350</xdr:colOff>
      <xdr:row>417</xdr:row>
      <xdr:rowOff>476250</xdr:rowOff>
    </xdr:to>
    <xdr:pic>
      <xdr:nvPicPr>
        <xdr:cNvPr id="59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09333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424</xdr:row>
      <xdr:rowOff>279400</xdr:rowOff>
    </xdr:from>
    <xdr:to>
      <xdr:col>10</xdr:col>
      <xdr:colOff>196850</xdr:colOff>
      <xdr:row>424</xdr:row>
      <xdr:rowOff>498475</xdr:rowOff>
    </xdr:to>
    <xdr:pic>
      <xdr:nvPicPr>
        <xdr:cNvPr id="59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1598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424</xdr:row>
      <xdr:rowOff>257175</xdr:rowOff>
    </xdr:from>
    <xdr:to>
      <xdr:col>10</xdr:col>
      <xdr:colOff>514350</xdr:colOff>
      <xdr:row>424</xdr:row>
      <xdr:rowOff>476250</xdr:rowOff>
    </xdr:to>
    <xdr:pic>
      <xdr:nvPicPr>
        <xdr:cNvPr id="59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1596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424</xdr:row>
      <xdr:rowOff>279400</xdr:rowOff>
    </xdr:from>
    <xdr:to>
      <xdr:col>3</xdr:col>
      <xdr:colOff>196850</xdr:colOff>
      <xdr:row>424</xdr:row>
      <xdr:rowOff>498475</xdr:rowOff>
    </xdr:to>
    <xdr:pic>
      <xdr:nvPicPr>
        <xdr:cNvPr id="59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15985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424</xdr:row>
      <xdr:rowOff>257175</xdr:rowOff>
    </xdr:from>
    <xdr:to>
      <xdr:col>3</xdr:col>
      <xdr:colOff>514350</xdr:colOff>
      <xdr:row>424</xdr:row>
      <xdr:rowOff>476250</xdr:rowOff>
    </xdr:to>
    <xdr:pic>
      <xdr:nvPicPr>
        <xdr:cNvPr id="59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15963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428</xdr:row>
      <xdr:rowOff>279400</xdr:rowOff>
    </xdr:from>
    <xdr:to>
      <xdr:col>10</xdr:col>
      <xdr:colOff>196850</xdr:colOff>
      <xdr:row>428</xdr:row>
      <xdr:rowOff>498475</xdr:rowOff>
    </xdr:to>
    <xdr:pic>
      <xdr:nvPicPr>
        <xdr:cNvPr id="59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18604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428</xdr:row>
      <xdr:rowOff>257175</xdr:rowOff>
    </xdr:from>
    <xdr:to>
      <xdr:col>10</xdr:col>
      <xdr:colOff>514350</xdr:colOff>
      <xdr:row>428</xdr:row>
      <xdr:rowOff>476250</xdr:rowOff>
    </xdr:to>
    <xdr:pic>
      <xdr:nvPicPr>
        <xdr:cNvPr id="59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18582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428</xdr:row>
      <xdr:rowOff>279400</xdr:rowOff>
    </xdr:from>
    <xdr:to>
      <xdr:col>3</xdr:col>
      <xdr:colOff>196850</xdr:colOff>
      <xdr:row>428</xdr:row>
      <xdr:rowOff>498475</xdr:rowOff>
    </xdr:to>
    <xdr:pic>
      <xdr:nvPicPr>
        <xdr:cNvPr id="59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18604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428</xdr:row>
      <xdr:rowOff>257175</xdr:rowOff>
    </xdr:from>
    <xdr:to>
      <xdr:col>3</xdr:col>
      <xdr:colOff>514350</xdr:colOff>
      <xdr:row>428</xdr:row>
      <xdr:rowOff>476250</xdr:rowOff>
    </xdr:to>
    <xdr:pic>
      <xdr:nvPicPr>
        <xdr:cNvPr id="59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18582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590</xdr:row>
      <xdr:rowOff>279400</xdr:rowOff>
    </xdr:from>
    <xdr:to>
      <xdr:col>10</xdr:col>
      <xdr:colOff>196850</xdr:colOff>
      <xdr:row>590</xdr:row>
      <xdr:rowOff>498475</xdr:rowOff>
    </xdr:to>
    <xdr:pic>
      <xdr:nvPicPr>
        <xdr:cNvPr id="59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45049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590</xdr:row>
      <xdr:rowOff>257175</xdr:rowOff>
    </xdr:from>
    <xdr:to>
      <xdr:col>10</xdr:col>
      <xdr:colOff>514350</xdr:colOff>
      <xdr:row>590</xdr:row>
      <xdr:rowOff>476250</xdr:rowOff>
    </xdr:to>
    <xdr:pic>
      <xdr:nvPicPr>
        <xdr:cNvPr id="59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4502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590</xdr:row>
      <xdr:rowOff>279400</xdr:rowOff>
    </xdr:from>
    <xdr:to>
      <xdr:col>3</xdr:col>
      <xdr:colOff>196850</xdr:colOff>
      <xdr:row>590</xdr:row>
      <xdr:rowOff>498475</xdr:rowOff>
    </xdr:to>
    <xdr:pic>
      <xdr:nvPicPr>
        <xdr:cNvPr id="59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45049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590</xdr:row>
      <xdr:rowOff>257175</xdr:rowOff>
    </xdr:from>
    <xdr:to>
      <xdr:col>3</xdr:col>
      <xdr:colOff>514350</xdr:colOff>
      <xdr:row>590</xdr:row>
      <xdr:rowOff>476250</xdr:rowOff>
    </xdr:to>
    <xdr:pic>
      <xdr:nvPicPr>
        <xdr:cNvPr id="59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45027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597</xdr:row>
      <xdr:rowOff>279400</xdr:rowOff>
    </xdr:from>
    <xdr:to>
      <xdr:col>10</xdr:col>
      <xdr:colOff>196850</xdr:colOff>
      <xdr:row>597</xdr:row>
      <xdr:rowOff>498475</xdr:rowOff>
    </xdr:to>
    <xdr:pic>
      <xdr:nvPicPr>
        <xdr:cNvPr id="59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5081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597</xdr:row>
      <xdr:rowOff>257175</xdr:rowOff>
    </xdr:from>
    <xdr:to>
      <xdr:col>10</xdr:col>
      <xdr:colOff>514350</xdr:colOff>
      <xdr:row>597</xdr:row>
      <xdr:rowOff>476250</xdr:rowOff>
    </xdr:to>
    <xdr:pic>
      <xdr:nvPicPr>
        <xdr:cNvPr id="59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5078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597</xdr:row>
      <xdr:rowOff>279400</xdr:rowOff>
    </xdr:from>
    <xdr:to>
      <xdr:col>3</xdr:col>
      <xdr:colOff>196850</xdr:colOff>
      <xdr:row>597</xdr:row>
      <xdr:rowOff>498475</xdr:rowOff>
    </xdr:to>
    <xdr:pic>
      <xdr:nvPicPr>
        <xdr:cNvPr id="59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0811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597</xdr:row>
      <xdr:rowOff>257175</xdr:rowOff>
    </xdr:from>
    <xdr:to>
      <xdr:col>3</xdr:col>
      <xdr:colOff>514350</xdr:colOff>
      <xdr:row>597</xdr:row>
      <xdr:rowOff>476250</xdr:rowOff>
    </xdr:to>
    <xdr:pic>
      <xdr:nvPicPr>
        <xdr:cNvPr id="59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0789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604</xdr:row>
      <xdr:rowOff>279400</xdr:rowOff>
    </xdr:from>
    <xdr:to>
      <xdr:col>10</xdr:col>
      <xdr:colOff>196850</xdr:colOff>
      <xdr:row>604</xdr:row>
      <xdr:rowOff>498475</xdr:rowOff>
    </xdr:to>
    <xdr:pic>
      <xdr:nvPicPr>
        <xdr:cNvPr id="59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56250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604</xdr:row>
      <xdr:rowOff>257175</xdr:rowOff>
    </xdr:from>
    <xdr:to>
      <xdr:col>10</xdr:col>
      <xdr:colOff>514350</xdr:colOff>
      <xdr:row>604</xdr:row>
      <xdr:rowOff>476250</xdr:rowOff>
    </xdr:to>
    <xdr:pic>
      <xdr:nvPicPr>
        <xdr:cNvPr id="59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5622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604</xdr:row>
      <xdr:rowOff>279400</xdr:rowOff>
    </xdr:from>
    <xdr:to>
      <xdr:col>3</xdr:col>
      <xdr:colOff>196850</xdr:colOff>
      <xdr:row>604</xdr:row>
      <xdr:rowOff>498475</xdr:rowOff>
    </xdr:to>
    <xdr:pic>
      <xdr:nvPicPr>
        <xdr:cNvPr id="59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6250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604</xdr:row>
      <xdr:rowOff>257175</xdr:rowOff>
    </xdr:from>
    <xdr:to>
      <xdr:col>3</xdr:col>
      <xdr:colOff>514350</xdr:colOff>
      <xdr:row>604</xdr:row>
      <xdr:rowOff>476250</xdr:rowOff>
    </xdr:to>
    <xdr:pic>
      <xdr:nvPicPr>
        <xdr:cNvPr id="59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622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608</xdr:row>
      <xdr:rowOff>279400</xdr:rowOff>
    </xdr:from>
    <xdr:to>
      <xdr:col>10</xdr:col>
      <xdr:colOff>196850</xdr:colOff>
      <xdr:row>608</xdr:row>
      <xdr:rowOff>498475</xdr:rowOff>
    </xdr:to>
    <xdr:pic>
      <xdr:nvPicPr>
        <xdr:cNvPr id="59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5920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608</xdr:row>
      <xdr:rowOff>257175</xdr:rowOff>
    </xdr:from>
    <xdr:to>
      <xdr:col>10</xdr:col>
      <xdr:colOff>514350</xdr:colOff>
      <xdr:row>608</xdr:row>
      <xdr:rowOff>476250</xdr:rowOff>
    </xdr:to>
    <xdr:pic>
      <xdr:nvPicPr>
        <xdr:cNvPr id="59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5918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608</xdr:row>
      <xdr:rowOff>279400</xdr:rowOff>
    </xdr:from>
    <xdr:to>
      <xdr:col>3</xdr:col>
      <xdr:colOff>196850</xdr:colOff>
      <xdr:row>608</xdr:row>
      <xdr:rowOff>498475</xdr:rowOff>
    </xdr:to>
    <xdr:pic>
      <xdr:nvPicPr>
        <xdr:cNvPr id="59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59203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608</xdr:row>
      <xdr:rowOff>257175</xdr:rowOff>
    </xdr:from>
    <xdr:to>
      <xdr:col>3</xdr:col>
      <xdr:colOff>514350</xdr:colOff>
      <xdr:row>608</xdr:row>
      <xdr:rowOff>476250</xdr:rowOff>
    </xdr:to>
    <xdr:pic>
      <xdr:nvPicPr>
        <xdr:cNvPr id="59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59181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438</xdr:row>
      <xdr:rowOff>279400</xdr:rowOff>
    </xdr:from>
    <xdr:to>
      <xdr:col>10</xdr:col>
      <xdr:colOff>196850</xdr:colOff>
      <xdr:row>438</xdr:row>
      <xdr:rowOff>498475</xdr:rowOff>
    </xdr:to>
    <xdr:pic>
      <xdr:nvPicPr>
        <xdr:cNvPr id="59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2643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438</xdr:row>
      <xdr:rowOff>257175</xdr:rowOff>
    </xdr:from>
    <xdr:to>
      <xdr:col>10</xdr:col>
      <xdr:colOff>514350</xdr:colOff>
      <xdr:row>438</xdr:row>
      <xdr:rowOff>476250</xdr:rowOff>
    </xdr:to>
    <xdr:pic>
      <xdr:nvPicPr>
        <xdr:cNvPr id="59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26412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438</xdr:row>
      <xdr:rowOff>279400</xdr:rowOff>
    </xdr:from>
    <xdr:to>
      <xdr:col>3</xdr:col>
      <xdr:colOff>196850</xdr:colOff>
      <xdr:row>438</xdr:row>
      <xdr:rowOff>498475</xdr:rowOff>
    </xdr:to>
    <xdr:pic>
      <xdr:nvPicPr>
        <xdr:cNvPr id="59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26434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438</xdr:row>
      <xdr:rowOff>257175</xdr:rowOff>
    </xdr:from>
    <xdr:to>
      <xdr:col>3</xdr:col>
      <xdr:colOff>514350</xdr:colOff>
      <xdr:row>438</xdr:row>
      <xdr:rowOff>476250</xdr:rowOff>
    </xdr:to>
    <xdr:pic>
      <xdr:nvPicPr>
        <xdr:cNvPr id="59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26412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445</xdr:row>
      <xdr:rowOff>279400</xdr:rowOff>
    </xdr:from>
    <xdr:to>
      <xdr:col>10</xdr:col>
      <xdr:colOff>196850</xdr:colOff>
      <xdr:row>445</xdr:row>
      <xdr:rowOff>498475</xdr:rowOff>
    </xdr:to>
    <xdr:pic>
      <xdr:nvPicPr>
        <xdr:cNvPr id="59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32501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445</xdr:row>
      <xdr:rowOff>257175</xdr:rowOff>
    </xdr:from>
    <xdr:to>
      <xdr:col>10</xdr:col>
      <xdr:colOff>514350</xdr:colOff>
      <xdr:row>445</xdr:row>
      <xdr:rowOff>476250</xdr:rowOff>
    </xdr:to>
    <xdr:pic>
      <xdr:nvPicPr>
        <xdr:cNvPr id="59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3247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445</xdr:row>
      <xdr:rowOff>279400</xdr:rowOff>
    </xdr:from>
    <xdr:to>
      <xdr:col>3</xdr:col>
      <xdr:colOff>196850</xdr:colOff>
      <xdr:row>445</xdr:row>
      <xdr:rowOff>498475</xdr:rowOff>
    </xdr:to>
    <xdr:pic>
      <xdr:nvPicPr>
        <xdr:cNvPr id="59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32501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445</xdr:row>
      <xdr:rowOff>257175</xdr:rowOff>
    </xdr:from>
    <xdr:to>
      <xdr:col>3</xdr:col>
      <xdr:colOff>514350</xdr:colOff>
      <xdr:row>445</xdr:row>
      <xdr:rowOff>476250</xdr:rowOff>
    </xdr:to>
    <xdr:pic>
      <xdr:nvPicPr>
        <xdr:cNvPr id="59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32479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452</xdr:row>
      <xdr:rowOff>279400</xdr:rowOff>
    </xdr:from>
    <xdr:to>
      <xdr:col>10</xdr:col>
      <xdr:colOff>196850</xdr:colOff>
      <xdr:row>452</xdr:row>
      <xdr:rowOff>498475</xdr:rowOff>
    </xdr:to>
    <xdr:pic>
      <xdr:nvPicPr>
        <xdr:cNvPr id="59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38169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452</xdr:row>
      <xdr:rowOff>257175</xdr:rowOff>
    </xdr:from>
    <xdr:to>
      <xdr:col>10</xdr:col>
      <xdr:colOff>514350</xdr:colOff>
      <xdr:row>452</xdr:row>
      <xdr:rowOff>476250</xdr:rowOff>
    </xdr:to>
    <xdr:pic>
      <xdr:nvPicPr>
        <xdr:cNvPr id="59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3814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452</xdr:row>
      <xdr:rowOff>279400</xdr:rowOff>
    </xdr:from>
    <xdr:to>
      <xdr:col>3</xdr:col>
      <xdr:colOff>196850</xdr:colOff>
      <xdr:row>452</xdr:row>
      <xdr:rowOff>498475</xdr:rowOff>
    </xdr:to>
    <xdr:pic>
      <xdr:nvPicPr>
        <xdr:cNvPr id="59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38169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452</xdr:row>
      <xdr:rowOff>257175</xdr:rowOff>
    </xdr:from>
    <xdr:to>
      <xdr:col>3</xdr:col>
      <xdr:colOff>514350</xdr:colOff>
      <xdr:row>452</xdr:row>
      <xdr:rowOff>476250</xdr:rowOff>
    </xdr:to>
    <xdr:pic>
      <xdr:nvPicPr>
        <xdr:cNvPr id="59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381470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456</xdr:row>
      <xdr:rowOff>279400</xdr:rowOff>
    </xdr:from>
    <xdr:to>
      <xdr:col>10</xdr:col>
      <xdr:colOff>196850</xdr:colOff>
      <xdr:row>456</xdr:row>
      <xdr:rowOff>498475</xdr:rowOff>
    </xdr:to>
    <xdr:pic>
      <xdr:nvPicPr>
        <xdr:cNvPr id="59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4096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456</xdr:row>
      <xdr:rowOff>257175</xdr:rowOff>
    </xdr:from>
    <xdr:to>
      <xdr:col>10</xdr:col>
      <xdr:colOff>514350</xdr:colOff>
      <xdr:row>456</xdr:row>
      <xdr:rowOff>476250</xdr:rowOff>
    </xdr:to>
    <xdr:pic>
      <xdr:nvPicPr>
        <xdr:cNvPr id="59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4093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456</xdr:row>
      <xdr:rowOff>279400</xdr:rowOff>
    </xdr:from>
    <xdr:to>
      <xdr:col>3</xdr:col>
      <xdr:colOff>196850</xdr:colOff>
      <xdr:row>456</xdr:row>
      <xdr:rowOff>498475</xdr:rowOff>
    </xdr:to>
    <xdr:pic>
      <xdr:nvPicPr>
        <xdr:cNvPr id="59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4096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456</xdr:row>
      <xdr:rowOff>257175</xdr:rowOff>
    </xdr:from>
    <xdr:to>
      <xdr:col>3</xdr:col>
      <xdr:colOff>514350</xdr:colOff>
      <xdr:row>456</xdr:row>
      <xdr:rowOff>476250</xdr:rowOff>
    </xdr:to>
    <xdr:pic>
      <xdr:nvPicPr>
        <xdr:cNvPr id="59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4093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466</xdr:row>
      <xdr:rowOff>279400</xdr:rowOff>
    </xdr:from>
    <xdr:to>
      <xdr:col>10</xdr:col>
      <xdr:colOff>196850</xdr:colOff>
      <xdr:row>466</xdr:row>
      <xdr:rowOff>498475</xdr:rowOff>
    </xdr:to>
    <xdr:pic>
      <xdr:nvPicPr>
        <xdr:cNvPr id="59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4858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466</xdr:row>
      <xdr:rowOff>257175</xdr:rowOff>
    </xdr:from>
    <xdr:to>
      <xdr:col>10</xdr:col>
      <xdr:colOff>514350</xdr:colOff>
      <xdr:row>466</xdr:row>
      <xdr:rowOff>476250</xdr:rowOff>
    </xdr:to>
    <xdr:pic>
      <xdr:nvPicPr>
        <xdr:cNvPr id="59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4855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466</xdr:row>
      <xdr:rowOff>279400</xdr:rowOff>
    </xdr:from>
    <xdr:to>
      <xdr:col>3</xdr:col>
      <xdr:colOff>196850</xdr:colOff>
      <xdr:row>466</xdr:row>
      <xdr:rowOff>498475</xdr:rowOff>
    </xdr:to>
    <xdr:pic>
      <xdr:nvPicPr>
        <xdr:cNvPr id="59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48580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466</xdr:row>
      <xdr:rowOff>257175</xdr:rowOff>
    </xdr:from>
    <xdr:to>
      <xdr:col>3</xdr:col>
      <xdr:colOff>514350</xdr:colOff>
      <xdr:row>466</xdr:row>
      <xdr:rowOff>476250</xdr:rowOff>
    </xdr:to>
    <xdr:pic>
      <xdr:nvPicPr>
        <xdr:cNvPr id="59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48557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473</xdr:row>
      <xdr:rowOff>279400</xdr:rowOff>
    </xdr:from>
    <xdr:to>
      <xdr:col>10</xdr:col>
      <xdr:colOff>196850</xdr:colOff>
      <xdr:row>473</xdr:row>
      <xdr:rowOff>498475</xdr:rowOff>
    </xdr:to>
    <xdr:pic>
      <xdr:nvPicPr>
        <xdr:cNvPr id="60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5395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473</xdr:row>
      <xdr:rowOff>257175</xdr:rowOff>
    </xdr:from>
    <xdr:to>
      <xdr:col>10</xdr:col>
      <xdr:colOff>514350</xdr:colOff>
      <xdr:row>473</xdr:row>
      <xdr:rowOff>476250</xdr:rowOff>
    </xdr:to>
    <xdr:pic>
      <xdr:nvPicPr>
        <xdr:cNvPr id="60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5392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473</xdr:row>
      <xdr:rowOff>279400</xdr:rowOff>
    </xdr:from>
    <xdr:to>
      <xdr:col>3</xdr:col>
      <xdr:colOff>196850</xdr:colOff>
      <xdr:row>473</xdr:row>
      <xdr:rowOff>498475</xdr:rowOff>
    </xdr:to>
    <xdr:pic>
      <xdr:nvPicPr>
        <xdr:cNvPr id="60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5395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473</xdr:row>
      <xdr:rowOff>257175</xdr:rowOff>
    </xdr:from>
    <xdr:to>
      <xdr:col>3</xdr:col>
      <xdr:colOff>514350</xdr:colOff>
      <xdr:row>473</xdr:row>
      <xdr:rowOff>476250</xdr:rowOff>
    </xdr:to>
    <xdr:pic>
      <xdr:nvPicPr>
        <xdr:cNvPr id="60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5392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480</xdr:row>
      <xdr:rowOff>279400</xdr:rowOff>
    </xdr:from>
    <xdr:to>
      <xdr:col>10</xdr:col>
      <xdr:colOff>196850</xdr:colOff>
      <xdr:row>480</xdr:row>
      <xdr:rowOff>498475</xdr:rowOff>
    </xdr:to>
    <xdr:pic>
      <xdr:nvPicPr>
        <xdr:cNvPr id="60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5944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480</xdr:row>
      <xdr:rowOff>257175</xdr:rowOff>
    </xdr:from>
    <xdr:to>
      <xdr:col>10</xdr:col>
      <xdr:colOff>514350</xdr:colOff>
      <xdr:row>480</xdr:row>
      <xdr:rowOff>476250</xdr:rowOff>
    </xdr:to>
    <xdr:pic>
      <xdr:nvPicPr>
        <xdr:cNvPr id="60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59425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480</xdr:row>
      <xdr:rowOff>279400</xdr:rowOff>
    </xdr:from>
    <xdr:to>
      <xdr:col>3</xdr:col>
      <xdr:colOff>196850</xdr:colOff>
      <xdr:row>480</xdr:row>
      <xdr:rowOff>498475</xdr:rowOff>
    </xdr:to>
    <xdr:pic>
      <xdr:nvPicPr>
        <xdr:cNvPr id="60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5944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480</xdr:row>
      <xdr:rowOff>257175</xdr:rowOff>
    </xdr:from>
    <xdr:to>
      <xdr:col>3</xdr:col>
      <xdr:colOff>514350</xdr:colOff>
      <xdr:row>480</xdr:row>
      <xdr:rowOff>476250</xdr:rowOff>
    </xdr:to>
    <xdr:pic>
      <xdr:nvPicPr>
        <xdr:cNvPr id="60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59425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484</xdr:row>
      <xdr:rowOff>279400</xdr:rowOff>
    </xdr:from>
    <xdr:to>
      <xdr:col>10</xdr:col>
      <xdr:colOff>196850</xdr:colOff>
      <xdr:row>484</xdr:row>
      <xdr:rowOff>498475</xdr:rowOff>
    </xdr:to>
    <xdr:pic>
      <xdr:nvPicPr>
        <xdr:cNvPr id="60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62248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484</xdr:row>
      <xdr:rowOff>257175</xdr:rowOff>
    </xdr:from>
    <xdr:to>
      <xdr:col>10</xdr:col>
      <xdr:colOff>514350</xdr:colOff>
      <xdr:row>484</xdr:row>
      <xdr:rowOff>476250</xdr:rowOff>
    </xdr:to>
    <xdr:pic>
      <xdr:nvPicPr>
        <xdr:cNvPr id="60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62226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484</xdr:row>
      <xdr:rowOff>279400</xdr:rowOff>
    </xdr:from>
    <xdr:to>
      <xdr:col>3</xdr:col>
      <xdr:colOff>196850</xdr:colOff>
      <xdr:row>484</xdr:row>
      <xdr:rowOff>498475</xdr:rowOff>
    </xdr:to>
    <xdr:pic>
      <xdr:nvPicPr>
        <xdr:cNvPr id="60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2248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484</xdr:row>
      <xdr:rowOff>257175</xdr:rowOff>
    </xdr:from>
    <xdr:to>
      <xdr:col>3</xdr:col>
      <xdr:colOff>514350</xdr:colOff>
      <xdr:row>484</xdr:row>
      <xdr:rowOff>476250</xdr:rowOff>
    </xdr:to>
    <xdr:pic>
      <xdr:nvPicPr>
        <xdr:cNvPr id="60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2226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487</xdr:row>
      <xdr:rowOff>279400</xdr:rowOff>
    </xdr:from>
    <xdr:to>
      <xdr:col>10</xdr:col>
      <xdr:colOff>196850</xdr:colOff>
      <xdr:row>487</xdr:row>
      <xdr:rowOff>498475</xdr:rowOff>
    </xdr:to>
    <xdr:pic>
      <xdr:nvPicPr>
        <xdr:cNvPr id="60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64115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487</xdr:row>
      <xdr:rowOff>257175</xdr:rowOff>
    </xdr:from>
    <xdr:to>
      <xdr:col>10</xdr:col>
      <xdr:colOff>514350</xdr:colOff>
      <xdr:row>487</xdr:row>
      <xdr:rowOff>476250</xdr:rowOff>
    </xdr:to>
    <xdr:pic>
      <xdr:nvPicPr>
        <xdr:cNvPr id="60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6409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487</xdr:row>
      <xdr:rowOff>279400</xdr:rowOff>
    </xdr:from>
    <xdr:to>
      <xdr:col>3</xdr:col>
      <xdr:colOff>196850</xdr:colOff>
      <xdr:row>487</xdr:row>
      <xdr:rowOff>498475</xdr:rowOff>
    </xdr:to>
    <xdr:pic>
      <xdr:nvPicPr>
        <xdr:cNvPr id="60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4115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487</xdr:row>
      <xdr:rowOff>257175</xdr:rowOff>
    </xdr:from>
    <xdr:to>
      <xdr:col>3</xdr:col>
      <xdr:colOff>514350</xdr:colOff>
      <xdr:row>487</xdr:row>
      <xdr:rowOff>476250</xdr:rowOff>
    </xdr:to>
    <xdr:pic>
      <xdr:nvPicPr>
        <xdr:cNvPr id="60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4093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493</xdr:row>
      <xdr:rowOff>279400</xdr:rowOff>
    </xdr:from>
    <xdr:to>
      <xdr:col>10</xdr:col>
      <xdr:colOff>196850</xdr:colOff>
      <xdr:row>493</xdr:row>
      <xdr:rowOff>498475</xdr:rowOff>
    </xdr:to>
    <xdr:pic>
      <xdr:nvPicPr>
        <xdr:cNvPr id="60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6845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493</xdr:row>
      <xdr:rowOff>257175</xdr:rowOff>
    </xdr:from>
    <xdr:to>
      <xdr:col>10</xdr:col>
      <xdr:colOff>514350</xdr:colOff>
      <xdr:row>493</xdr:row>
      <xdr:rowOff>476250</xdr:rowOff>
    </xdr:to>
    <xdr:pic>
      <xdr:nvPicPr>
        <xdr:cNvPr id="60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6843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493</xdr:row>
      <xdr:rowOff>279400</xdr:rowOff>
    </xdr:from>
    <xdr:to>
      <xdr:col>3</xdr:col>
      <xdr:colOff>196850</xdr:colOff>
      <xdr:row>493</xdr:row>
      <xdr:rowOff>498475</xdr:rowOff>
    </xdr:to>
    <xdr:pic>
      <xdr:nvPicPr>
        <xdr:cNvPr id="60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68458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493</xdr:row>
      <xdr:rowOff>257175</xdr:rowOff>
    </xdr:from>
    <xdr:to>
      <xdr:col>3</xdr:col>
      <xdr:colOff>514350</xdr:colOff>
      <xdr:row>493</xdr:row>
      <xdr:rowOff>476250</xdr:rowOff>
    </xdr:to>
    <xdr:pic>
      <xdr:nvPicPr>
        <xdr:cNvPr id="60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68436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496</xdr:row>
      <xdr:rowOff>279400</xdr:rowOff>
    </xdr:from>
    <xdr:to>
      <xdr:col>10</xdr:col>
      <xdr:colOff>196850</xdr:colOff>
      <xdr:row>496</xdr:row>
      <xdr:rowOff>498475</xdr:rowOff>
    </xdr:to>
    <xdr:pic>
      <xdr:nvPicPr>
        <xdr:cNvPr id="60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7068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496</xdr:row>
      <xdr:rowOff>257175</xdr:rowOff>
    </xdr:from>
    <xdr:to>
      <xdr:col>10</xdr:col>
      <xdr:colOff>514350</xdr:colOff>
      <xdr:row>496</xdr:row>
      <xdr:rowOff>476250</xdr:rowOff>
    </xdr:to>
    <xdr:pic>
      <xdr:nvPicPr>
        <xdr:cNvPr id="60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7066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496</xdr:row>
      <xdr:rowOff>279400</xdr:rowOff>
    </xdr:from>
    <xdr:to>
      <xdr:col>3</xdr:col>
      <xdr:colOff>196850</xdr:colOff>
      <xdr:row>496</xdr:row>
      <xdr:rowOff>498475</xdr:rowOff>
    </xdr:to>
    <xdr:pic>
      <xdr:nvPicPr>
        <xdr:cNvPr id="60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0687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496</xdr:row>
      <xdr:rowOff>257175</xdr:rowOff>
    </xdr:from>
    <xdr:to>
      <xdr:col>3</xdr:col>
      <xdr:colOff>514350</xdr:colOff>
      <xdr:row>496</xdr:row>
      <xdr:rowOff>476250</xdr:rowOff>
    </xdr:to>
    <xdr:pic>
      <xdr:nvPicPr>
        <xdr:cNvPr id="60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0665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499</xdr:row>
      <xdr:rowOff>279400</xdr:rowOff>
    </xdr:from>
    <xdr:to>
      <xdr:col>10</xdr:col>
      <xdr:colOff>196850</xdr:colOff>
      <xdr:row>499</xdr:row>
      <xdr:rowOff>498475</xdr:rowOff>
    </xdr:to>
    <xdr:pic>
      <xdr:nvPicPr>
        <xdr:cNvPr id="60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72916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499</xdr:row>
      <xdr:rowOff>257175</xdr:rowOff>
    </xdr:from>
    <xdr:to>
      <xdr:col>10</xdr:col>
      <xdr:colOff>514350</xdr:colOff>
      <xdr:row>499</xdr:row>
      <xdr:rowOff>476250</xdr:rowOff>
    </xdr:to>
    <xdr:pic>
      <xdr:nvPicPr>
        <xdr:cNvPr id="60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72894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499</xdr:row>
      <xdr:rowOff>279400</xdr:rowOff>
    </xdr:from>
    <xdr:to>
      <xdr:col>3</xdr:col>
      <xdr:colOff>196850</xdr:colOff>
      <xdr:row>499</xdr:row>
      <xdr:rowOff>498475</xdr:rowOff>
    </xdr:to>
    <xdr:pic>
      <xdr:nvPicPr>
        <xdr:cNvPr id="60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2916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499</xdr:row>
      <xdr:rowOff>257175</xdr:rowOff>
    </xdr:from>
    <xdr:to>
      <xdr:col>3</xdr:col>
      <xdr:colOff>514350</xdr:colOff>
      <xdr:row>499</xdr:row>
      <xdr:rowOff>476250</xdr:rowOff>
    </xdr:to>
    <xdr:pic>
      <xdr:nvPicPr>
        <xdr:cNvPr id="60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2894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506</xdr:row>
      <xdr:rowOff>279400</xdr:rowOff>
    </xdr:from>
    <xdr:to>
      <xdr:col>10</xdr:col>
      <xdr:colOff>196850</xdr:colOff>
      <xdr:row>506</xdr:row>
      <xdr:rowOff>498475</xdr:rowOff>
    </xdr:to>
    <xdr:pic>
      <xdr:nvPicPr>
        <xdr:cNvPr id="60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7872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506</xdr:row>
      <xdr:rowOff>257175</xdr:rowOff>
    </xdr:from>
    <xdr:to>
      <xdr:col>10</xdr:col>
      <xdr:colOff>514350</xdr:colOff>
      <xdr:row>506</xdr:row>
      <xdr:rowOff>476250</xdr:rowOff>
    </xdr:to>
    <xdr:pic>
      <xdr:nvPicPr>
        <xdr:cNvPr id="60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7870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506</xdr:row>
      <xdr:rowOff>279400</xdr:rowOff>
    </xdr:from>
    <xdr:to>
      <xdr:col>3</xdr:col>
      <xdr:colOff>196850</xdr:colOff>
      <xdr:row>506</xdr:row>
      <xdr:rowOff>498475</xdr:rowOff>
    </xdr:to>
    <xdr:pic>
      <xdr:nvPicPr>
        <xdr:cNvPr id="60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78726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506</xdr:row>
      <xdr:rowOff>257175</xdr:rowOff>
    </xdr:from>
    <xdr:to>
      <xdr:col>3</xdr:col>
      <xdr:colOff>514350</xdr:colOff>
      <xdr:row>506</xdr:row>
      <xdr:rowOff>476250</xdr:rowOff>
    </xdr:to>
    <xdr:pic>
      <xdr:nvPicPr>
        <xdr:cNvPr id="60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78704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513</xdr:row>
      <xdr:rowOff>279400</xdr:rowOff>
    </xdr:from>
    <xdr:to>
      <xdr:col>10</xdr:col>
      <xdr:colOff>196850</xdr:colOff>
      <xdr:row>513</xdr:row>
      <xdr:rowOff>498475</xdr:rowOff>
    </xdr:to>
    <xdr:pic>
      <xdr:nvPicPr>
        <xdr:cNvPr id="60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8458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513</xdr:row>
      <xdr:rowOff>257175</xdr:rowOff>
    </xdr:from>
    <xdr:to>
      <xdr:col>10</xdr:col>
      <xdr:colOff>514350</xdr:colOff>
      <xdr:row>513</xdr:row>
      <xdr:rowOff>476250</xdr:rowOff>
    </xdr:to>
    <xdr:pic>
      <xdr:nvPicPr>
        <xdr:cNvPr id="60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8456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513</xdr:row>
      <xdr:rowOff>279400</xdr:rowOff>
    </xdr:from>
    <xdr:to>
      <xdr:col>3</xdr:col>
      <xdr:colOff>196850</xdr:colOff>
      <xdr:row>513</xdr:row>
      <xdr:rowOff>498475</xdr:rowOff>
    </xdr:to>
    <xdr:pic>
      <xdr:nvPicPr>
        <xdr:cNvPr id="6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84584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513</xdr:row>
      <xdr:rowOff>257175</xdr:rowOff>
    </xdr:from>
    <xdr:to>
      <xdr:col>3</xdr:col>
      <xdr:colOff>514350</xdr:colOff>
      <xdr:row>513</xdr:row>
      <xdr:rowOff>476250</xdr:rowOff>
    </xdr:to>
    <xdr:pic>
      <xdr:nvPicPr>
        <xdr:cNvPr id="60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84562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520</xdr:row>
      <xdr:rowOff>279400</xdr:rowOff>
    </xdr:from>
    <xdr:to>
      <xdr:col>10</xdr:col>
      <xdr:colOff>196850</xdr:colOff>
      <xdr:row>520</xdr:row>
      <xdr:rowOff>498475</xdr:rowOff>
    </xdr:to>
    <xdr:pic>
      <xdr:nvPicPr>
        <xdr:cNvPr id="60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9073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520</xdr:row>
      <xdr:rowOff>257175</xdr:rowOff>
    </xdr:from>
    <xdr:to>
      <xdr:col>10</xdr:col>
      <xdr:colOff>514350</xdr:colOff>
      <xdr:row>520</xdr:row>
      <xdr:rowOff>476250</xdr:rowOff>
    </xdr:to>
    <xdr:pic>
      <xdr:nvPicPr>
        <xdr:cNvPr id="60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9071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520</xdr:row>
      <xdr:rowOff>279400</xdr:rowOff>
    </xdr:from>
    <xdr:to>
      <xdr:col>3</xdr:col>
      <xdr:colOff>196850</xdr:colOff>
      <xdr:row>520</xdr:row>
      <xdr:rowOff>498475</xdr:rowOff>
    </xdr:to>
    <xdr:pic>
      <xdr:nvPicPr>
        <xdr:cNvPr id="60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073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520</xdr:row>
      <xdr:rowOff>257175</xdr:rowOff>
    </xdr:from>
    <xdr:to>
      <xdr:col>3</xdr:col>
      <xdr:colOff>514350</xdr:colOff>
      <xdr:row>520</xdr:row>
      <xdr:rowOff>476250</xdr:rowOff>
    </xdr:to>
    <xdr:pic>
      <xdr:nvPicPr>
        <xdr:cNvPr id="60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071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524</xdr:row>
      <xdr:rowOff>279400</xdr:rowOff>
    </xdr:from>
    <xdr:to>
      <xdr:col>10</xdr:col>
      <xdr:colOff>196850</xdr:colOff>
      <xdr:row>524</xdr:row>
      <xdr:rowOff>498475</xdr:rowOff>
    </xdr:to>
    <xdr:pic>
      <xdr:nvPicPr>
        <xdr:cNvPr id="60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39338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524</xdr:row>
      <xdr:rowOff>257175</xdr:rowOff>
    </xdr:from>
    <xdr:to>
      <xdr:col>10</xdr:col>
      <xdr:colOff>514350</xdr:colOff>
      <xdr:row>524</xdr:row>
      <xdr:rowOff>476250</xdr:rowOff>
    </xdr:to>
    <xdr:pic>
      <xdr:nvPicPr>
        <xdr:cNvPr id="60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393363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524</xdr:row>
      <xdr:rowOff>279400</xdr:rowOff>
    </xdr:from>
    <xdr:to>
      <xdr:col>3</xdr:col>
      <xdr:colOff>196850</xdr:colOff>
      <xdr:row>524</xdr:row>
      <xdr:rowOff>498475</xdr:rowOff>
    </xdr:to>
    <xdr:pic>
      <xdr:nvPicPr>
        <xdr:cNvPr id="60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39338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524</xdr:row>
      <xdr:rowOff>257175</xdr:rowOff>
    </xdr:from>
    <xdr:to>
      <xdr:col>3</xdr:col>
      <xdr:colOff>514350</xdr:colOff>
      <xdr:row>524</xdr:row>
      <xdr:rowOff>476250</xdr:rowOff>
    </xdr:to>
    <xdr:pic>
      <xdr:nvPicPr>
        <xdr:cNvPr id="60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393363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677</xdr:row>
      <xdr:rowOff>279400</xdr:rowOff>
    </xdr:from>
    <xdr:to>
      <xdr:col>10</xdr:col>
      <xdr:colOff>196850</xdr:colOff>
      <xdr:row>677</xdr:row>
      <xdr:rowOff>498475</xdr:rowOff>
    </xdr:to>
    <xdr:pic>
      <xdr:nvPicPr>
        <xdr:cNvPr id="60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14419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677</xdr:row>
      <xdr:rowOff>257175</xdr:rowOff>
    </xdr:from>
    <xdr:to>
      <xdr:col>10</xdr:col>
      <xdr:colOff>514350</xdr:colOff>
      <xdr:row>677</xdr:row>
      <xdr:rowOff>476250</xdr:rowOff>
    </xdr:to>
    <xdr:pic>
      <xdr:nvPicPr>
        <xdr:cNvPr id="60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1439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677</xdr:row>
      <xdr:rowOff>279400</xdr:rowOff>
    </xdr:from>
    <xdr:to>
      <xdr:col>3</xdr:col>
      <xdr:colOff>196850</xdr:colOff>
      <xdr:row>677</xdr:row>
      <xdr:rowOff>498475</xdr:rowOff>
    </xdr:to>
    <xdr:pic>
      <xdr:nvPicPr>
        <xdr:cNvPr id="60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4419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677</xdr:row>
      <xdr:rowOff>257175</xdr:rowOff>
    </xdr:from>
    <xdr:to>
      <xdr:col>3</xdr:col>
      <xdr:colOff>514350</xdr:colOff>
      <xdr:row>677</xdr:row>
      <xdr:rowOff>476250</xdr:rowOff>
    </xdr:to>
    <xdr:pic>
      <xdr:nvPicPr>
        <xdr:cNvPr id="60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4397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684</xdr:row>
      <xdr:rowOff>279400</xdr:rowOff>
    </xdr:from>
    <xdr:to>
      <xdr:col>10</xdr:col>
      <xdr:colOff>196850</xdr:colOff>
      <xdr:row>684</xdr:row>
      <xdr:rowOff>498475</xdr:rowOff>
    </xdr:to>
    <xdr:pic>
      <xdr:nvPicPr>
        <xdr:cNvPr id="60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1951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684</xdr:row>
      <xdr:rowOff>257175</xdr:rowOff>
    </xdr:from>
    <xdr:to>
      <xdr:col>10</xdr:col>
      <xdr:colOff>514350</xdr:colOff>
      <xdr:row>684</xdr:row>
      <xdr:rowOff>476250</xdr:rowOff>
    </xdr:to>
    <xdr:pic>
      <xdr:nvPicPr>
        <xdr:cNvPr id="60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1949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684</xdr:row>
      <xdr:rowOff>279400</xdr:rowOff>
    </xdr:from>
    <xdr:to>
      <xdr:col>3</xdr:col>
      <xdr:colOff>196850</xdr:colOff>
      <xdr:row>684</xdr:row>
      <xdr:rowOff>498475</xdr:rowOff>
    </xdr:to>
    <xdr:pic>
      <xdr:nvPicPr>
        <xdr:cNvPr id="60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1951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684</xdr:row>
      <xdr:rowOff>257175</xdr:rowOff>
    </xdr:from>
    <xdr:to>
      <xdr:col>3</xdr:col>
      <xdr:colOff>514350</xdr:colOff>
      <xdr:row>684</xdr:row>
      <xdr:rowOff>476250</xdr:rowOff>
    </xdr:to>
    <xdr:pic>
      <xdr:nvPicPr>
        <xdr:cNvPr id="60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1949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691</xdr:row>
      <xdr:rowOff>279400</xdr:rowOff>
    </xdr:from>
    <xdr:to>
      <xdr:col>10</xdr:col>
      <xdr:colOff>196850</xdr:colOff>
      <xdr:row>691</xdr:row>
      <xdr:rowOff>498475</xdr:rowOff>
    </xdr:to>
    <xdr:pic>
      <xdr:nvPicPr>
        <xdr:cNvPr id="60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257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691</xdr:row>
      <xdr:rowOff>257175</xdr:rowOff>
    </xdr:from>
    <xdr:to>
      <xdr:col>10</xdr:col>
      <xdr:colOff>514350</xdr:colOff>
      <xdr:row>691</xdr:row>
      <xdr:rowOff>476250</xdr:rowOff>
    </xdr:to>
    <xdr:pic>
      <xdr:nvPicPr>
        <xdr:cNvPr id="60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2570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691</xdr:row>
      <xdr:rowOff>279400</xdr:rowOff>
    </xdr:from>
    <xdr:to>
      <xdr:col>3</xdr:col>
      <xdr:colOff>196850</xdr:colOff>
      <xdr:row>691</xdr:row>
      <xdr:rowOff>498475</xdr:rowOff>
    </xdr:to>
    <xdr:pic>
      <xdr:nvPicPr>
        <xdr:cNvPr id="60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2572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691</xdr:row>
      <xdr:rowOff>257175</xdr:rowOff>
    </xdr:from>
    <xdr:to>
      <xdr:col>3</xdr:col>
      <xdr:colOff>514350</xdr:colOff>
      <xdr:row>691</xdr:row>
      <xdr:rowOff>476250</xdr:rowOff>
    </xdr:to>
    <xdr:pic>
      <xdr:nvPicPr>
        <xdr:cNvPr id="60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2570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695</xdr:row>
      <xdr:rowOff>279400</xdr:rowOff>
    </xdr:from>
    <xdr:to>
      <xdr:col>10</xdr:col>
      <xdr:colOff>196850</xdr:colOff>
      <xdr:row>695</xdr:row>
      <xdr:rowOff>498475</xdr:rowOff>
    </xdr:to>
    <xdr:pic>
      <xdr:nvPicPr>
        <xdr:cNvPr id="60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2821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695</xdr:row>
      <xdr:rowOff>257175</xdr:rowOff>
    </xdr:from>
    <xdr:to>
      <xdr:col>10</xdr:col>
      <xdr:colOff>514350</xdr:colOff>
      <xdr:row>695</xdr:row>
      <xdr:rowOff>476250</xdr:rowOff>
    </xdr:to>
    <xdr:pic>
      <xdr:nvPicPr>
        <xdr:cNvPr id="60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2818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695</xdr:row>
      <xdr:rowOff>279400</xdr:rowOff>
    </xdr:from>
    <xdr:to>
      <xdr:col>3</xdr:col>
      <xdr:colOff>196850</xdr:colOff>
      <xdr:row>695</xdr:row>
      <xdr:rowOff>498475</xdr:rowOff>
    </xdr:to>
    <xdr:pic>
      <xdr:nvPicPr>
        <xdr:cNvPr id="60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28212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695</xdr:row>
      <xdr:rowOff>257175</xdr:rowOff>
    </xdr:from>
    <xdr:to>
      <xdr:col>3</xdr:col>
      <xdr:colOff>514350</xdr:colOff>
      <xdr:row>695</xdr:row>
      <xdr:rowOff>476250</xdr:rowOff>
    </xdr:to>
    <xdr:pic>
      <xdr:nvPicPr>
        <xdr:cNvPr id="60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28189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705</xdr:row>
      <xdr:rowOff>279400</xdr:rowOff>
    </xdr:from>
    <xdr:to>
      <xdr:col>10</xdr:col>
      <xdr:colOff>196850</xdr:colOff>
      <xdr:row>705</xdr:row>
      <xdr:rowOff>498475</xdr:rowOff>
    </xdr:to>
    <xdr:pic>
      <xdr:nvPicPr>
        <xdr:cNvPr id="60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3587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705</xdr:row>
      <xdr:rowOff>257175</xdr:rowOff>
    </xdr:from>
    <xdr:to>
      <xdr:col>10</xdr:col>
      <xdr:colOff>514350</xdr:colOff>
      <xdr:row>705</xdr:row>
      <xdr:rowOff>476250</xdr:rowOff>
    </xdr:to>
    <xdr:pic>
      <xdr:nvPicPr>
        <xdr:cNvPr id="60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3584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705</xdr:row>
      <xdr:rowOff>279400</xdr:rowOff>
    </xdr:from>
    <xdr:to>
      <xdr:col>3</xdr:col>
      <xdr:colOff>196850</xdr:colOff>
      <xdr:row>705</xdr:row>
      <xdr:rowOff>498475</xdr:rowOff>
    </xdr:to>
    <xdr:pic>
      <xdr:nvPicPr>
        <xdr:cNvPr id="60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35870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705</xdr:row>
      <xdr:rowOff>257175</xdr:rowOff>
    </xdr:from>
    <xdr:to>
      <xdr:col>3</xdr:col>
      <xdr:colOff>514350</xdr:colOff>
      <xdr:row>705</xdr:row>
      <xdr:rowOff>476250</xdr:rowOff>
    </xdr:to>
    <xdr:pic>
      <xdr:nvPicPr>
        <xdr:cNvPr id="60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35847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712</xdr:row>
      <xdr:rowOff>279400</xdr:rowOff>
    </xdr:from>
    <xdr:to>
      <xdr:col>10</xdr:col>
      <xdr:colOff>196850</xdr:colOff>
      <xdr:row>712</xdr:row>
      <xdr:rowOff>498475</xdr:rowOff>
    </xdr:to>
    <xdr:pic>
      <xdr:nvPicPr>
        <xdr:cNvPr id="60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41937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712</xdr:row>
      <xdr:rowOff>257175</xdr:rowOff>
    </xdr:from>
    <xdr:to>
      <xdr:col>10</xdr:col>
      <xdr:colOff>514350</xdr:colOff>
      <xdr:row>712</xdr:row>
      <xdr:rowOff>476250</xdr:rowOff>
    </xdr:to>
    <xdr:pic>
      <xdr:nvPicPr>
        <xdr:cNvPr id="60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41915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712</xdr:row>
      <xdr:rowOff>279400</xdr:rowOff>
    </xdr:from>
    <xdr:to>
      <xdr:col>3</xdr:col>
      <xdr:colOff>196850</xdr:colOff>
      <xdr:row>712</xdr:row>
      <xdr:rowOff>498475</xdr:rowOff>
    </xdr:to>
    <xdr:pic>
      <xdr:nvPicPr>
        <xdr:cNvPr id="60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1937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712</xdr:row>
      <xdr:rowOff>257175</xdr:rowOff>
    </xdr:from>
    <xdr:to>
      <xdr:col>3</xdr:col>
      <xdr:colOff>514350</xdr:colOff>
      <xdr:row>712</xdr:row>
      <xdr:rowOff>476250</xdr:rowOff>
    </xdr:to>
    <xdr:pic>
      <xdr:nvPicPr>
        <xdr:cNvPr id="60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1915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719</xdr:row>
      <xdr:rowOff>279400</xdr:rowOff>
    </xdr:from>
    <xdr:to>
      <xdr:col>10</xdr:col>
      <xdr:colOff>196850</xdr:colOff>
      <xdr:row>719</xdr:row>
      <xdr:rowOff>498475</xdr:rowOff>
    </xdr:to>
    <xdr:pic>
      <xdr:nvPicPr>
        <xdr:cNvPr id="60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4750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719</xdr:row>
      <xdr:rowOff>257175</xdr:rowOff>
    </xdr:from>
    <xdr:to>
      <xdr:col>10</xdr:col>
      <xdr:colOff>514350</xdr:colOff>
      <xdr:row>719</xdr:row>
      <xdr:rowOff>476250</xdr:rowOff>
    </xdr:to>
    <xdr:pic>
      <xdr:nvPicPr>
        <xdr:cNvPr id="60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4748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719</xdr:row>
      <xdr:rowOff>279400</xdr:rowOff>
    </xdr:from>
    <xdr:to>
      <xdr:col>3</xdr:col>
      <xdr:colOff>196850</xdr:colOff>
      <xdr:row>719</xdr:row>
      <xdr:rowOff>498475</xdr:rowOff>
    </xdr:to>
    <xdr:pic>
      <xdr:nvPicPr>
        <xdr:cNvPr id="60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4750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719</xdr:row>
      <xdr:rowOff>257175</xdr:rowOff>
    </xdr:from>
    <xdr:to>
      <xdr:col>3</xdr:col>
      <xdr:colOff>514350</xdr:colOff>
      <xdr:row>719</xdr:row>
      <xdr:rowOff>476250</xdr:rowOff>
    </xdr:to>
    <xdr:pic>
      <xdr:nvPicPr>
        <xdr:cNvPr id="60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748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723</xdr:row>
      <xdr:rowOff>279400</xdr:rowOff>
    </xdr:from>
    <xdr:to>
      <xdr:col>10</xdr:col>
      <xdr:colOff>196850</xdr:colOff>
      <xdr:row>723</xdr:row>
      <xdr:rowOff>498475</xdr:rowOff>
    </xdr:to>
    <xdr:pic>
      <xdr:nvPicPr>
        <xdr:cNvPr id="60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50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723</xdr:row>
      <xdr:rowOff>257175</xdr:rowOff>
    </xdr:from>
    <xdr:to>
      <xdr:col>10</xdr:col>
      <xdr:colOff>514350</xdr:colOff>
      <xdr:row>723</xdr:row>
      <xdr:rowOff>476250</xdr:rowOff>
    </xdr:to>
    <xdr:pic>
      <xdr:nvPicPr>
        <xdr:cNvPr id="60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4999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723</xdr:row>
      <xdr:rowOff>279400</xdr:rowOff>
    </xdr:from>
    <xdr:to>
      <xdr:col>3</xdr:col>
      <xdr:colOff>196850</xdr:colOff>
      <xdr:row>723</xdr:row>
      <xdr:rowOff>498475</xdr:rowOff>
    </xdr:to>
    <xdr:pic>
      <xdr:nvPicPr>
        <xdr:cNvPr id="60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0014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723</xdr:row>
      <xdr:rowOff>257175</xdr:rowOff>
    </xdr:from>
    <xdr:to>
      <xdr:col>3</xdr:col>
      <xdr:colOff>514350</xdr:colOff>
      <xdr:row>723</xdr:row>
      <xdr:rowOff>476250</xdr:rowOff>
    </xdr:to>
    <xdr:pic>
      <xdr:nvPicPr>
        <xdr:cNvPr id="60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49992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733</xdr:row>
      <xdr:rowOff>279400</xdr:rowOff>
    </xdr:from>
    <xdr:to>
      <xdr:col>10</xdr:col>
      <xdr:colOff>196850</xdr:colOff>
      <xdr:row>733</xdr:row>
      <xdr:rowOff>498475</xdr:rowOff>
    </xdr:to>
    <xdr:pic>
      <xdr:nvPicPr>
        <xdr:cNvPr id="60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5802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733</xdr:row>
      <xdr:rowOff>257175</xdr:rowOff>
    </xdr:from>
    <xdr:to>
      <xdr:col>10</xdr:col>
      <xdr:colOff>514350</xdr:colOff>
      <xdr:row>733</xdr:row>
      <xdr:rowOff>476250</xdr:rowOff>
    </xdr:to>
    <xdr:pic>
      <xdr:nvPicPr>
        <xdr:cNvPr id="60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58003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733</xdr:row>
      <xdr:rowOff>279400</xdr:rowOff>
    </xdr:from>
    <xdr:to>
      <xdr:col>3</xdr:col>
      <xdr:colOff>196850</xdr:colOff>
      <xdr:row>733</xdr:row>
      <xdr:rowOff>498475</xdr:rowOff>
    </xdr:to>
    <xdr:pic>
      <xdr:nvPicPr>
        <xdr:cNvPr id="60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58025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733</xdr:row>
      <xdr:rowOff>257175</xdr:rowOff>
    </xdr:from>
    <xdr:to>
      <xdr:col>3</xdr:col>
      <xdr:colOff>514350</xdr:colOff>
      <xdr:row>733</xdr:row>
      <xdr:rowOff>476250</xdr:rowOff>
    </xdr:to>
    <xdr:pic>
      <xdr:nvPicPr>
        <xdr:cNvPr id="60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58003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740</xdr:row>
      <xdr:rowOff>279400</xdr:rowOff>
    </xdr:from>
    <xdr:to>
      <xdr:col>10</xdr:col>
      <xdr:colOff>196850</xdr:colOff>
      <xdr:row>740</xdr:row>
      <xdr:rowOff>498475</xdr:rowOff>
    </xdr:to>
    <xdr:pic>
      <xdr:nvPicPr>
        <xdr:cNvPr id="60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63873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740</xdr:row>
      <xdr:rowOff>257175</xdr:rowOff>
    </xdr:from>
    <xdr:to>
      <xdr:col>10</xdr:col>
      <xdr:colOff>514350</xdr:colOff>
      <xdr:row>740</xdr:row>
      <xdr:rowOff>476250</xdr:rowOff>
    </xdr:to>
    <xdr:pic>
      <xdr:nvPicPr>
        <xdr:cNvPr id="60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63851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740</xdr:row>
      <xdr:rowOff>279400</xdr:rowOff>
    </xdr:from>
    <xdr:to>
      <xdr:col>3</xdr:col>
      <xdr:colOff>196850</xdr:colOff>
      <xdr:row>740</xdr:row>
      <xdr:rowOff>498475</xdr:rowOff>
    </xdr:to>
    <xdr:pic>
      <xdr:nvPicPr>
        <xdr:cNvPr id="60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3873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740</xdr:row>
      <xdr:rowOff>257175</xdr:rowOff>
    </xdr:from>
    <xdr:to>
      <xdr:col>3</xdr:col>
      <xdr:colOff>514350</xdr:colOff>
      <xdr:row>740</xdr:row>
      <xdr:rowOff>476250</xdr:rowOff>
    </xdr:to>
    <xdr:pic>
      <xdr:nvPicPr>
        <xdr:cNvPr id="60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3851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747</xdr:row>
      <xdr:rowOff>279400</xdr:rowOff>
    </xdr:from>
    <xdr:to>
      <xdr:col>10</xdr:col>
      <xdr:colOff>196850</xdr:colOff>
      <xdr:row>747</xdr:row>
      <xdr:rowOff>498475</xdr:rowOff>
    </xdr:to>
    <xdr:pic>
      <xdr:nvPicPr>
        <xdr:cNvPr id="60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696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747</xdr:row>
      <xdr:rowOff>257175</xdr:rowOff>
    </xdr:from>
    <xdr:to>
      <xdr:col>10</xdr:col>
      <xdr:colOff>514350</xdr:colOff>
      <xdr:row>747</xdr:row>
      <xdr:rowOff>476250</xdr:rowOff>
    </xdr:to>
    <xdr:pic>
      <xdr:nvPicPr>
        <xdr:cNvPr id="60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695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747</xdr:row>
      <xdr:rowOff>279400</xdr:rowOff>
    </xdr:from>
    <xdr:to>
      <xdr:col>3</xdr:col>
      <xdr:colOff>196850</xdr:colOff>
      <xdr:row>747</xdr:row>
      <xdr:rowOff>498475</xdr:rowOff>
    </xdr:to>
    <xdr:pic>
      <xdr:nvPicPr>
        <xdr:cNvPr id="60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6961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747</xdr:row>
      <xdr:rowOff>257175</xdr:rowOff>
    </xdr:from>
    <xdr:to>
      <xdr:col>3</xdr:col>
      <xdr:colOff>514350</xdr:colOff>
      <xdr:row>747</xdr:row>
      <xdr:rowOff>476250</xdr:rowOff>
    </xdr:to>
    <xdr:pic>
      <xdr:nvPicPr>
        <xdr:cNvPr id="60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6959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751</xdr:row>
      <xdr:rowOff>279400</xdr:rowOff>
    </xdr:from>
    <xdr:to>
      <xdr:col>10</xdr:col>
      <xdr:colOff>196850</xdr:colOff>
      <xdr:row>751</xdr:row>
      <xdr:rowOff>498475</xdr:rowOff>
    </xdr:to>
    <xdr:pic>
      <xdr:nvPicPr>
        <xdr:cNvPr id="60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723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751</xdr:row>
      <xdr:rowOff>257175</xdr:rowOff>
    </xdr:from>
    <xdr:to>
      <xdr:col>10</xdr:col>
      <xdr:colOff>514350</xdr:colOff>
      <xdr:row>751</xdr:row>
      <xdr:rowOff>476250</xdr:rowOff>
    </xdr:to>
    <xdr:pic>
      <xdr:nvPicPr>
        <xdr:cNvPr id="60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723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751</xdr:row>
      <xdr:rowOff>279400</xdr:rowOff>
    </xdr:from>
    <xdr:to>
      <xdr:col>3</xdr:col>
      <xdr:colOff>196850</xdr:colOff>
      <xdr:row>751</xdr:row>
      <xdr:rowOff>498475</xdr:rowOff>
    </xdr:to>
    <xdr:pic>
      <xdr:nvPicPr>
        <xdr:cNvPr id="60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2341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751</xdr:row>
      <xdr:rowOff>257175</xdr:rowOff>
    </xdr:from>
    <xdr:to>
      <xdr:col>3</xdr:col>
      <xdr:colOff>514350</xdr:colOff>
      <xdr:row>751</xdr:row>
      <xdr:rowOff>476250</xdr:rowOff>
    </xdr:to>
    <xdr:pic>
      <xdr:nvPicPr>
        <xdr:cNvPr id="60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2319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534</xdr:row>
      <xdr:rowOff>279400</xdr:rowOff>
    </xdr:from>
    <xdr:to>
      <xdr:col>10</xdr:col>
      <xdr:colOff>196850</xdr:colOff>
      <xdr:row>534</xdr:row>
      <xdr:rowOff>498475</xdr:rowOff>
    </xdr:to>
    <xdr:pic>
      <xdr:nvPicPr>
        <xdr:cNvPr id="60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0110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534</xdr:row>
      <xdr:rowOff>257175</xdr:rowOff>
    </xdr:from>
    <xdr:to>
      <xdr:col>10</xdr:col>
      <xdr:colOff>514350</xdr:colOff>
      <xdr:row>534</xdr:row>
      <xdr:rowOff>476250</xdr:rowOff>
    </xdr:to>
    <xdr:pic>
      <xdr:nvPicPr>
        <xdr:cNvPr id="60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0107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534</xdr:row>
      <xdr:rowOff>279400</xdr:rowOff>
    </xdr:from>
    <xdr:to>
      <xdr:col>3</xdr:col>
      <xdr:colOff>196850</xdr:colOff>
      <xdr:row>534</xdr:row>
      <xdr:rowOff>498475</xdr:rowOff>
    </xdr:to>
    <xdr:pic>
      <xdr:nvPicPr>
        <xdr:cNvPr id="60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01100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534</xdr:row>
      <xdr:rowOff>257175</xdr:rowOff>
    </xdr:from>
    <xdr:to>
      <xdr:col>3</xdr:col>
      <xdr:colOff>514350</xdr:colOff>
      <xdr:row>534</xdr:row>
      <xdr:rowOff>476250</xdr:rowOff>
    </xdr:to>
    <xdr:pic>
      <xdr:nvPicPr>
        <xdr:cNvPr id="60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01078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541</xdr:row>
      <xdr:rowOff>279400</xdr:rowOff>
    </xdr:from>
    <xdr:to>
      <xdr:col>10</xdr:col>
      <xdr:colOff>196850</xdr:colOff>
      <xdr:row>541</xdr:row>
      <xdr:rowOff>498475</xdr:rowOff>
    </xdr:to>
    <xdr:pic>
      <xdr:nvPicPr>
        <xdr:cNvPr id="60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0653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541</xdr:row>
      <xdr:rowOff>257175</xdr:rowOff>
    </xdr:from>
    <xdr:to>
      <xdr:col>10</xdr:col>
      <xdr:colOff>514350</xdr:colOff>
      <xdr:row>541</xdr:row>
      <xdr:rowOff>476250</xdr:rowOff>
    </xdr:to>
    <xdr:pic>
      <xdr:nvPicPr>
        <xdr:cNvPr id="60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0651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541</xdr:row>
      <xdr:rowOff>279400</xdr:rowOff>
    </xdr:from>
    <xdr:to>
      <xdr:col>3</xdr:col>
      <xdr:colOff>196850</xdr:colOff>
      <xdr:row>541</xdr:row>
      <xdr:rowOff>498475</xdr:rowOff>
    </xdr:to>
    <xdr:pic>
      <xdr:nvPicPr>
        <xdr:cNvPr id="60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06539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541</xdr:row>
      <xdr:rowOff>257175</xdr:rowOff>
    </xdr:from>
    <xdr:to>
      <xdr:col>3</xdr:col>
      <xdr:colOff>514350</xdr:colOff>
      <xdr:row>541</xdr:row>
      <xdr:rowOff>476250</xdr:rowOff>
    </xdr:to>
    <xdr:pic>
      <xdr:nvPicPr>
        <xdr:cNvPr id="60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06517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548</xdr:row>
      <xdr:rowOff>279400</xdr:rowOff>
    </xdr:from>
    <xdr:to>
      <xdr:col>10</xdr:col>
      <xdr:colOff>196850</xdr:colOff>
      <xdr:row>548</xdr:row>
      <xdr:rowOff>498475</xdr:rowOff>
    </xdr:to>
    <xdr:pic>
      <xdr:nvPicPr>
        <xdr:cNvPr id="61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1240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548</xdr:row>
      <xdr:rowOff>257175</xdr:rowOff>
    </xdr:from>
    <xdr:to>
      <xdr:col>10</xdr:col>
      <xdr:colOff>514350</xdr:colOff>
      <xdr:row>548</xdr:row>
      <xdr:rowOff>476250</xdr:rowOff>
    </xdr:to>
    <xdr:pic>
      <xdr:nvPicPr>
        <xdr:cNvPr id="61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12384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548</xdr:row>
      <xdr:rowOff>279400</xdr:rowOff>
    </xdr:from>
    <xdr:to>
      <xdr:col>3</xdr:col>
      <xdr:colOff>196850</xdr:colOff>
      <xdr:row>548</xdr:row>
      <xdr:rowOff>498475</xdr:rowOff>
    </xdr:to>
    <xdr:pic>
      <xdr:nvPicPr>
        <xdr:cNvPr id="61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1240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548</xdr:row>
      <xdr:rowOff>257175</xdr:rowOff>
    </xdr:from>
    <xdr:to>
      <xdr:col>3</xdr:col>
      <xdr:colOff>514350</xdr:colOff>
      <xdr:row>548</xdr:row>
      <xdr:rowOff>476250</xdr:rowOff>
    </xdr:to>
    <xdr:pic>
      <xdr:nvPicPr>
        <xdr:cNvPr id="61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12384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552</xdr:row>
      <xdr:rowOff>279400</xdr:rowOff>
    </xdr:from>
    <xdr:to>
      <xdr:col>10</xdr:col>
      <xdr:colOff>196850</xdr:colOff>
      <xdr:row>552</xdr:row>
      <xdr:rowOff>498475</xdr:rowOff>
    </xdr:to>
    <xdr:pic>
      <xdr:nvPicPr>
        <xdr:cNvPr id="61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1525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552</xdr:row>
      <xdr:rowOff>257175</xdr:rowOff>
    </xdr:from>
    <xdr:to>
      <xdr:col>10</xdr:col>
      <xdr:colOff>514350</xdr:colOff>
      <xdr:row>552</xdr:row>
      <xdr:rowOff>476250</xdr:rowOff>
    </xdr:to>
    <xdr:pic>
      <xdr:nvPicPr>
        <xdr:cNvPr id="61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1523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552</xdr:row>
      <xdr:rowOff>279400</xdr:rowOff>
    </xdr:from>
    <xdr:to>
      <xdr:col>3</xdr:col>
      <xdr:colOff>196850</xdr:colOff>
      <xdr:row>552</xdr:row>
      <xdr:rowOff>498475</xdr:rowOff>
    </xdr:to>
    <xdr:pic>
      <xdr:nvPicPr>
        <xdr:cNvPr id="61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15255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552</xdr:row>
      <xdr:rowOff>257175</xdr:rowOff>
    </xdr:from>
    <xdr:to>
      <xdr:col>3</xdr:col>
      <xdr:colOff>514350</xdr:colOff>
      <xdr:row>552</xdr:row>
      <xdr:rowOff>476250</xdr:rowOff>
    </xdr:to>
    <xdr:pic>
      <xdr:nvPicPr>
        <xdr:cNvPr id="61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15232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761</xdr:row>
      <xdr:rowOff>279400</xdr:rowOff>
    </xdr:from>
    <xdr:to>
      <xdr:col>10</xdr:col>
      <xdr:colOff>196850</xdr:colOff>
      <xdr:row>761</xdr:row>
      <xdr:rowOff>498475</xdr:rowOff>
    </xdr:to>
    <xdr:pic>
      <xdr:nvPicPr>
        <xdr:cNvPr id="61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7997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761</xdr:row>
      <xdr:rowOff>257175</xdr:rowOff>
    </xdr:from>
    <xdr:to>
      <xdr:col>10</xdr:col>
      <xdr:colOff>514350</xdr:colOff>
      <xdr:row>761</xdr:row>
      <xdr:rowOff>476250</xdr:rowOff>
    </xdr:to>
    <xdr:pic>
      <xdr:nvPicPr>
        <xdr:cNvPr id="61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7994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761</xdr:row>
      <xdr:rowOff>279400</xdr:rowOff>
    </xdr:from>
    <xdr:to>
      <xdr:col>3</xdr:col>
      <xdr:colOff>196850</xdr:colOff>
      <xdr:row>761</xdr:row>
      <xdr:rowOff>498475</xdr:rowOff>
    </xdr:to>
    <xdr:pic>
      <xdr:nvPicPr>
        <xdr:cNvPr id="61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79970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761</xdr:row>
      <xdr:rowOff>257175</xdr:rowOff>
    </xdr:from>
    <xdr:to>
      <xdr:col>3</xdr:col>
      <xdr:colOff>514350</xdr:colOff>
      <xdr:row>761</xdr:row>
      <xdr:rowOff>476250</xdr:rowOff>
    </xdr:to>
    <xdr:pic>
      <xdr:nvPicPr>
        <xdr:cNvPr id="61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79948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768</xdr:row>
      <xdr:rowOff>279400</xdr:rowOff>
    </xdr:from>
    <xdr:to>
      <xdr:col>10</xdr:col>
      <xdr:colOff>196850</xdr:colOff>
      <xdr:row>768</xdr:row>
      <xdr:rowOff>498475</xdr:rowOff>
    </xdr:to>
    <xdr:pic>
      <xdr:nvPicPr>
        <xdr:cNvPr id="6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8559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768</xdr:row>
      <xdr:rowOff>257175</xdr:rowOff>
    </xdr:from>
    <xdr:to>
      <xdr:col>10</xdr:col>
      <xdr:colOff>514350</xdr:colOff>
      <xdr:row>768</xdr:row>
      <xdr:rowOff>476250</xdr:rowOff>
    </xdr:to>
    <xdr:pic>
      <xdr:nvPicPr>
        <xdr:cNvPr id="61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85568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768</xdr:row>
      <xdr:rowOff>279400</xdr:rowOff>
    </xdr:from>
    <xdr:to>
      <xdr:col>3</xdr:col>
      <xdr:colOff>196850</xdr:colOff>
      <xdr:row>768</xdr:row>
      <xdr:rowOff>498475</xdr:rowOff>
    </xdr:to>
    <xdr:pic>
      <xdr:nvPicPr>
        <xdr:cNvPr id="61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85590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768</xdr:row>
      <xdr:rowOff>257175</xdr:rowOff>
    </xdr:from>
    <xdr:to>
      <xdr:col>3</xdr:col>
      <xdr:colOff>514350</xdr:colOff>
      <xdr:row>768</xdr:row>
      <xdr:rowOff>476250</xdr:rowOff>
    </xdr:to>
    <xdr:pic>
      <xdr:nvPicPr>
        <xdr:cNvPr id="61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85568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775</xdr:row>
      <xdr:rowOff>279400</xdr:rowOff>
    </xdr:from>
    <xdr:to>
      <xdr:col>10</xdr:col>
      <xdr:colOff>196850</xdr:colOff>
      <xdr:row>775</xdr:row>
      <xdr:rowOff>498475</xdr:rowOff>
    </xdr:to>
    <xdr:pic>
      <xdr:nvPicPr>
        <xdr:cNvPr id="61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90981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775</xdr:row>
      <xdr:rowOff>257175</xdr:rowOff>
    </xdr:from>
    <xdr:to>
      <xdr:col>10</xdr:col>
      <xdr:colOff>514350</xdr:colOff>
      <xdr:row>775</xdr:row>
      <xdr:rowOff>476250</xdr:rowOff>
    </xdr:to>
    <xdr:pic>
      <xdr:nvPicPr>
        <xdr:cNvPr id="61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90959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775</xdr:row>
      <xdr:rowOff>279400</xdr:rowOff>
    </xdr:from>
    <xdr:to>
      <xdr:col>3</xdr:col>
      <xdr:colOff>196850</xdr:colOff>
      <xdr:row>775</xdr:row>
      <xdr:rowOff>498475</xdr:rowOff>
    </xdr:to>
    <xdr:pic>
      <xdr:nvPicPr>
        <xdr:cNvPr id="61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0981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775</xdr:row>
      <xdr:rowOff>257175</xdr:rowOff>
    </xdr:from>
    <xdr:to>
      <xdr:col>3</xdr:col>
      <xdr:colOff>514350</xdr:colOff>
      <xdr:row>775</xdr:row>
      <xdr:rowOff>476250</xdr:rowOff>
    </xdr:to>
    <xdr:pic>
      <xdr:nvPicPr>
        <xdr:cNvPr id="61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0959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779</xdr:row>
      <xdr:rowOff>279400</xdr:rowOff>
    </xdr:from>
    <xdr:to>
      <xdr:col>10</xdr:col>
      <xdr:colOff>196850</xdr:colOff>
      <xdr:row>779</xdr:row>
      <xdr:rowOff>498475</xdr:rowOff>
    </xdr:to>
    <xdr:pic>
      <xdr:nvPicPr>
        <xdr:cNvPr id="61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59348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779</xdr:row>
      <xdr:rowOff>257175</xdr:rowOff>
    </xdr:from>
    <xdr:to>
      <xdr:col>10</xdr:col>
      <xdr:colOff>514350</xdr:colOff>
      <xdr:row>779</xdr:row>
      <xdr:rowOff>476250</xdr:rowOff>
    </xdr:to>
    <xdr:pic>
      <xdr:nvPicPr>
        <xdr:cNvPr id="61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59346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779</xdr:row>
      <xdr:rowOff>279400</xdr:rowOff>
    </xdr:from>
    <xdr:to>
      <xdr:col>3</xdr:col>
      <xdr:colOff>196850</xdr:colOff>
      <xdr:row>779</xdr:row>
      <xdr:rowOff>498475</xdr:rowOff>
    </xdr:to>
    <xdr:pic>
      <xdr:nvPicPr>
        <xdr:cNvPr id="61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593486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779</xdr:row>
      <xdr:rowOff>257175</xdr:rowOff>
    </xdr:from>
    <xdr:to>
      <xdr:col>3</xdr:col>
      <xdr:colOff>514350</xdr:colOff>
      <xdr:row>779</xdr:row>
      <xdr:rowOff>476250</xdr:rowOff>
    </xdr:to>
    <xdr:pic>
      <xdr:nvPicPr>
        <xdr:cNvPr id="6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593464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789</xdr:row>
      <xdr:rowOff>279400</xdr:rowOff>
    </xdr:from>
    <xdr:to>
      <xdr:col>10</xdr:col>
      <xdr:colOff>196850</xdr:colOff>
      <xdr:row>789</xdr:row>
      <xdr:rowOff>498475</xdr:rowOff>
    </xdr:to>
    <xdr:pic>
      <xdr:nvPicPr>
        <xdr:cNvPr id="6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150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789</xdr:row>
      <xdr:rowOff>257175</xdr:rowOff>
    </xdr:from>
    <xdr:to>
      <xdr:col>10</xdr:col>
      <xdr:colOff>514350</xdr:colOff>
      <xdr:row>789</xdr:row>
      <xdr:rowOff>476250</xdr:rowOff>
    </xdr:to>
    <xdr:pic>
      <xdr:nvPicPr>
        <xdr:cNvPr id="6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0148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789</xdr:row>
      <xdr:rowOff>279400</xdr:rowOff>
    </xdr:from>
    <xdr:to>
      <xdr:col>3</xdr:col>
      <xdr:colOff>196850</xdr:colOff>
      <xdr:row>789</xdr:row>
      <xdr:rowOff>498475</xdr:rowOff>
    </xdr:to>
    <xdr:pic>
      <xdr:nvPicPr>
        <xdr:cNvPr id="6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1506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789</xdr:row>
      <xdr:rowOff>257175</xdr:rowOff>
    </xdr:from>
    <xdr:to>
      <xdr:col>3</xdr:col>
      <xdr:colOff>514350</xdr:colOff>
      <xdr:row>789</xdr:row>
      <xdr:rowOff>476250</xdr:rowOff>
    </xdr:to>
    <xdr:pic>
      <xdr:nvPicPr>
        <xdr:cNvPr id="6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1484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796</xdr:row>
      <xdr:rowOff>279400</xdr:rowOff>
    </xdr:from>
    <xdr:to>
      <xdr:col>10</xdr:col>
      <xdr:colOff>196850</xdr:colOff>
      <xdr:row>796</xdr:row>
      <xdr:rowOff>498475</xdr:rowOff>
    </xdr:to>
    <xdr:pic>
      <xdr:nvPicPr>
        <xdr:cNvPr id="6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0712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796</xdr:row>
      <xdr:rowOff>257175</xdr:rowOff>
    </xdr:from>
    <xdr:to>
      <xdr:col>10</xdr:col>
      <xdr:colOff>514350</xdr:colOff>
      <xdr:row>796</xdr:row>
      <xdr:rowOff>476250</xdr:rowOff>
    </xdr:to>
    <xdr:pic>
      <xdr:nvPicPr>
        <xdr:cNvPr id="6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0710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796</xdr:row>
      <xdr:rowOff>279400</xdr:rowOff>
    </xdr:from>
    <xdr:to>
      <xdr:col>3</xdr:col>
      <xdr:colOff>196850</xdr:colOff>
      <xdr:row>796</xdr:row>
      <xdr:rowOff>498475</xdr:rowOff>
    </xdr:to>
    <xdr:pic>
      <xdr:nvPicPr>
        <xdr:cNvPr id="6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07126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796</xdr:row>
      <xdr:rowOff>257175</xdr:rowOff>
    </xdr:from>
    <xdr:to>
      <xdr:col>3</xdr:col>
      <xdr:colOff>514350</xdr:colOff>
      <xdr:row>796</xdr:row>
      <xdr:rowOff>476250</xdr:rowOff>
    </xdr:to>
    <xdr:pic>
      <xdr:nvPicPr>
        <xdr:cNvPr id="6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07104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803</xdr:row>
      <xdr:rowOff>279400</xdr:rowOff>
    </xdr:from>
    <xdr:to>
      <xdr:col>10</xdr:col>
      <xdr:colOff>196850</xdr:colOff>
      <xdr:row>803</xdr:row>
      <xdr:rowOff>498475</xdr:rowOff>
    </xdr:to>
    <xdr:pic>
      <xdr:nvPicPr>
        <xdr:cNvPr id="6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1278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803</xdr:row>
      <xdr:rowOff>257175</xdr:rowOff>
    </xdr:from>
    <xdr:to>
      <xdr:col>10</xdr:col>
      <xdr:colOff>514350</xdr:colOff>
      <xdr:row>803</xdr:row>
      <xdr:rowOff>476250</xdr:rowOff>
    </xdr:to>
    <xdr:pic>
      <xdr:nvPicPr>
        <xdr:cNvPr id="6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1276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803</xdr:row>
      <xdr:rowOff>279400</xdr:rowOff>
    </xdr:from>
    <xdr:to>
      <xdr:col>3</xdr:col>
      <xdr:colOff>196850</xdr:colOff>
      <xdr:row>803</xdr:row>
      <xdr:rowOff>498475</xdr:rowOff>
    </xdr:to>
    <xdr:pic>
      <xdr:nvPicPr>
        <xdr:cNvPr id="6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278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803</xdr:row>
      <xdr:rowOff>257175</xdr:rowOff>
    </xdr:from>
    <xdr:to>
      <xdr:col>3</xdr:col>
      <xdr:colOff>514350</xdr:colOff>
      <xdr:row>803</xdr:row>
      <xdr:rowOff>476250</xdr:rowOff>
    </xdr:to>
    <xdr:pic>
      <xdr:nvPicPr>
        <xdr:cNvPr id="6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1276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807</xdr:row>
      <xdr:rowOff>279400</xdr:rowOff>
    </xdr:from>
    <xdr:to>
      <xdr:col>10</xdr:col>
      <xdr:colOff>196850</xdr:colOff>
      <xdr:row>807</xdr:row>
      <xdr:rowOff>498475</xdr:rowOff>
    </xdr:to>
    <xdr:pic>
      <xdr:nvPicPr>
        <xdr:cNvPr id="6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1523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807</xdr:row>
      <xdr:rowOff>257175</xdr:rowOff>
    </xdr:from>
    <xdr:to>
      <xdr:col>10</xdr:col>
      <xdr:colOff>514350</xdr:colOff>
      <xdr:row>807</xdr:row>
      <xdr:rowOff>476250</xdr:rowOff>
    </xdr:to>
    <xdr:pic>
      <xdr:nvPicPr>
        <xdr:cNvPr id="6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1521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807</xdr:row>
      <xdr:rowOff>279400</xdr:rowOff>
    </xdr:from>
    <xdr:to>
      <xdr:col>3</xdr:col>
      <xdr:colOff>196850</xdr:colOff>
      <xdr:row>807</xdr:row>
      <xdr:rowOff>498475</xdr:rowOff>
    </xdr:to>
    <xdr:pic>
      <xdr:nvPicPr>
        <xdr:cNvPr id="6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1523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807</xdr:row>
      <xdr:rowOff>257175</xdr:rowOff>
    </xdr:from>
    <xdr:to>
      <xdr:col>3</xdr:col>
      <xdr:colOff>514350</xdr:colOff>
      <xdr:row>807</xdr:row>
      <xdr:rowOff>476250</xdr:rowOff>
    </xdr:to>
    <xdr:pic>
      <xdr:nvPicPr>
        <xdr:cNvPr id="6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1521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817</xdr:row>
      <xdr:rowOff>279400</xdr:rowOff>
    </xdr:from>
    <xdr:to>
      <xdr:col>10</xdr:col>
      <xdr:colOff>196850</xdr:colOff>
      <xdr:row>817</xdr:row>
      <xdr:rowOff>498475</xdr:rowOff>
    </xdr:to>
    <xdr:pic>
      <xdr:nvPicPr>
        <xdr:cNvPr id="6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23795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817</xdr:row>
      <xdr:rowOff>257175</xdr:rowOff>
    </xdr:from>
    <xdr:to>
      <xdr:col>10</xdr:col>
      <xdr:colOff>514350</xdr:colOff>
      <xdr:row>817</xdr:row>
      <xdr:rowOff>476250</xdr:rowOff>
    </xdr:to>
    <xdr:pic>
      <xdr:nvPicPr>
        <xdr:cNvPr id="6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23773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817</xdr:row>
      <xdr:rowOff>279400</xdr:rowOff>
    </xdr:from>
    <xdr:to>
      <xdr:col>3</xdr:col>
      <xdr:colOff>196850</xdr:colOff>
      <xdr:row>817</xdr:row>
      <xdr:rowOff>498475</xdr:rowOff>
    </xdr:to>
    <xdr:pic>
      <xdr:nvPicPr>
        <xdr:cNvPr id="6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3795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817</xdr:row>
      <xdr:rowOff>257175</xdr:rowOff>
    </xdr:from>
    <xdr:to>
      <xdr:col>3</xdr:col>
      <xdr:colOff>514350</xdr:colOff>
      <xdr:row>817</xdr:row>
      <xdr:rowOff>476250</xdr:rowOff>
    </xdr:to>
    <xdr:pic>
      <xdr:nvPicPr>
        <xdr:cNvPr id="6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3773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824</xdr:row>
      <xdr:rowOff>279400</xdr:rowOff>
    </xdr:from>
    <xdr:to>
      <xdr:col>10</xdr:col>
      <xdr:colOff>196850</xdr:colOff>
      <xdr:row>824</xdr:row>
      <xdr:rowOff>498475</xdr:rowOff>
    </xdr:to>
    <xdr:pic>
      <xdr:nvPicPr>
        <xdr:cNvPr id="6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29977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824</xdr:row>
      <xdr:rowOff>257175</xdr:rowOff>
    </xdr:from>
    <xdr:to>
      <xdr:col>10</xdr:col>
      <xdr:colOff>514350</xdr:colOff>
      <xdr:row>824</xdr:row>
      <xdr:rowOff>476250</xdr:rowOff>
    </xdr:to>
    <xdr:pic>
      <xdr:nvPicPr>
        <xdr:cNvPr id="6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29954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824</xdr:row>
      <xdr:rowOff>279400</xdr:rowOff>
    </xdr:from>
    <xdr:to>
      <xdr:col>3</xdr:col>
      <xdr:colOff>196850</xdr:colOff>
      <xdr:row>824</xdr:row>
      <xdr:rowOff>498475</xdr:rowOff>
    </xdr:to>
    <xdr:pic>
      <xdr:nvPicPr>
        <xdr:cNvPr id="6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29977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824</xdr:row>
      <xdr:rowOff>257175</xdr:rowOff>
    </xdr:from>
    <xdr:to>
      <xdr:col>3</xdr:col>
      <xdr:colOff>514350</xdr:colOff>
      <xdr:row>824</xdr:row>
      <xdr:rowOff>476250</xdr:rowOff>
    </xdr:to>
    <xdr:pic>
      <xdr:nvPicPr>
        <xdr:cNvPr id="6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29954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831</xdr:row>
      <xdr:rowOff>279400</xdr:rowOff>
    </xdr:from>
    <xdr:to>
      <xdr:col>10</xdr:col>
      <xdr:colOff>196850</xdr:colOff>
      <xdr:row>831</xdr:row>
      <xdr:rowOff>498475</xdr:rowOff>
    </xdr:to>
    <xdr:pic>
      <xdr:nvPicPr>
        <xdr:cNvPr id="6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3592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831</xdr:row>
      <xdr:rowOff>257175</xdr:rowOff>
    </xdr:from>
    <xdr:to>
      <xdr:col>10</xdr:col>
      <xdr:colOff>514350</xdr:colOff>
      <xdr:row>831</xdr:row>
      <xdr:rowOff>476250</xdr:rowOff>
    </xdr:to>
    <xdr:pic>
      <xdr:nvPicPr>
        <xdr:cNvPr id="6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3589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831</xdr:row>
      <xdr:rowOff>279400</xdr:rowOff>
    </xdr:from>
    <xdr:to>
      <xdr:col>3</xdr:col>
      <xdr:colOff>196850</xdr:colOff>
      <xdr:row>831</xdr:row>
      <xdr:rowOff>498475</xdr:rowOff>
    </xdr:to>
    <xdr:pic>
      <xdr:nvPicPr>
        <xdr:cNvPr id="6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5920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831</xdr:row>
      <xdr:rowOff>257175</xdr:rowOff>
    </xdr:from>
    <xdr:to>
      <xdr:col>3</xdr:col>
      <xdr:colOff>514350</xdr:colOff>
      <xdr:row>831</xdr:row>
      <xdr:rowOff>476250</xdr:rowOff>
    </xdr:to>
    <xdr:pic>
      <xdr:nvPicPr>
        <xdr:cNvPr id="6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5898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835</xdr:row>
      <xdr:rowOff>279400</xdr:rowOff>
    </xdr:from>
    <xdr:to>
      <xdr:col>10</xdr:col>
      <xdr:colOff>196850</xdr:colOff>
      <xdr:row>835</xdr:row>
      <xdr:rowOff>498475</xdr:rowOff>
    </xdr:to>
    <xdr:pic>
      <xdr:nvPicPr>
        <xdr:cNvPr id="6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38654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835</xdr:row>
      <xdr:rowOff>257175</xdr:rowOff>
    </xdr:from>
    <xdr:to>
      <xdr:col>10</xdr:col>
      <xdr:colOff>514350</xdr:colOff>
      <xdr:row>835</xdr:row>
      <xdr:rowOff>476250</xdr:rowOff>
    </xdr:to>
    <xdr:pic>
      <xdr:nvPicPr>
        <xdr:cNvPr id="6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38632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835</xdr:row>
      <xdr:rowOff>279400</xdr:rowOff>
    </xdr:from>
    <xdr:to>
      <xdr:col>3</xdr:col>
      <xdr:colOff>196850</xdr:colOff>
      <xdr:row>835</xdr:row>
      <xdr:rowOff>498475</xdr:rowOff>
    </xdr:to>
    <xdr:pic>
      <xdr:nvPicPr>
        <xdr:cNvPr id="6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386544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835</xdr:row>
      <xdr:rowOff>257175</xdr:rowOff>
    </xdr:from>
    <xdr:to>
      <xdr:col>3</xdr:col>
      <xdr:colOff>514350</xdr:colOff>
      <xdr:row>835</xdr:row>
      <xdr:rowOff>476250</xdr:rowOff>
    </xdr:to>
    <xdr:pic>
      <xdr:nvPicPr>
        <xdr:cNvPr id="6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386322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845</xdr:row>
      <xdr:rowOff>279400</xdr:rowOff>
    </xdr:from>
    <xdr:to>
      <xdr:col>10</xdr:col>
      <xdr:colOff>196850</xdr:colOff>
      <xdr:row>845</xdr:row>
      <xdr:rowOff>498475</xdr:rowOff>
    </xdr:to>
    <xdr:pic>
      <xdr:nvPicPr>
        <xdr:cNvPr id="6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4692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845</xdr:row>
      <xdr:rowOff>257175</xdr:rowOff>
    </xdr:from>
    <xdr:to>
      <xdr:col>10</xdr:col>
      <xdr:colOff>514350</xdr:colOff>
      <xdr:row>845</xdr:row>
      <xdr:rowOff>476250</xdr:rowOff>
    </xdr:to>
    <xdr:pic>
      <xdr:nvPicPr>
        <xdr:cNvPr id="6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4689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845</xdr:row>
      <xdr:rowOff>279400</xdr:rowOff>
    </xdr:from>
    <xdr:to>
      <xdr:col>3</xdr:col>
      <xdr:colOff>196850</xdr:colOff>
      <xdr:row>845</xdr:row>
      <xdr:rowOff>498475</xdr:rowOff>
    </xdr:to>
    <xdr:pic>
      <xdr:nvPicPr>
        <xdr:cNvPr id="6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46922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845</xdr:row>
      <xdr:rowOff>257175</xdr:rowOff>
    </xdr:from>
    <xdr:to>
      <xdr:col>3</xdr:col>
      <xdr:colOff>514350</xdr:colOff>
      <xdr:row>845</xdr:row>
      <xdr:rowOff>476250</xdr:rowOff>
    </xdr:to>
    <xdr:pic>
      <xdr:nvPicPr>
        <xdr:cNvPr id="6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46899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852</xdr:row>
      <xdr:rowOff>279400</xdr:rowOff>
    </xdr:from>
    <xdr:to>
      <xdr:col>10</xdr:col>
      <xdr:colOff>196850</xdr:colOff>
      <xdr:row>852</xdr:row>
      <xdr:rowOff>498475</xdr:rowOff>
    </xdr:to>
    <xdr:pic>
      <xdr:nvPicPr>
        <xdr:cNvPr id="6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52941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852</xdr:row>
      <xdr:rowOff>257175</xdr:rowOff>
    </xdr:from>
    <xdr:to>
      <xdr:col>10</xdr:col>
      <xdr:colOff>514350</xdr:colOff>
      <xdr:row>852</xdr:row>
      <xdr:rowOff>476250</xdr:rowOff>
    </xdr:to>
    <xdr:pic>
      <xdr:nvPicPr>
        <xdr:cNvPr id="6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5291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852</xdr:row>
      <xdr:rowOff>279400</xdr:rowOff>
    </xdr:from>
    <xdr:to>
      <xdr:col>3</xdr:col>
      <xdr:colOff>196850</xdr:colOff>
      <xdr:row>852</xdr:row>
      <xdr:rowOff>498475</xdr:rowOff>
    </xdr:to>
    <xdr:pic>
      <xdr:nvPicPr>
        <xdr:cNvPr id="6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52941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852</xdr:row>
      <xdr:rowOff>257175</xdr:rowOff>
    </xdr:from>
    <xdr:to>
      <xdr:col>3</xdr:col>
      <xdr:colOff>514350</xdr:colOff>
      <xdr:row>852</xdr:row>
      <xdr:rowOff>476250</xdr:rowOff>
    </xdr:to>
    <xdr:pic>
      <xdr:nvPicPr>
        <xdr:cNvPr id="6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5291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859</xdr:row>
      <xdr:rowOff>279400</xdr:rowOff>
    </xdr:from>
    <xdr:to>
      <xdr:col>10</xdr:col>
      <xdr:colOff>196850</xdr:colOff>
      <xdr:row>859</xdr:row>
      <xdr:rowOff>498475</xdr:rowOff>
    </xdr:to>
    <xdr:pic>
      <xdr:nvPicPr>
        <xdr:cNvPr id="6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58628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859</xdr:row>
      <xdr:rowOff>257175</xdr:rowOff>
    </xdr:from>
    <xdr:to>
      <xdr:col>10</xdr:col>
      <xdr:colOff>514350</xdr:colOff>
      <xdr:row>859</xdr:row>
      <xdr:rowOff>476250</xdr:rowOff>
    </xdr:to>
    <xdr:pic>
      <xdr:nvPicPr>
        <xdr:cNvPr id="6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5860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859</xdr:row>
      <xdr:rowOff>279400</xdr:rowOff>
    </xdr:from>
    <xdr:to>
      <xdr:col>3</xdr:col>
      <xdr:colOff>196850</xdr:colOff>
      <xdr:row>859</xdr:row>
      <xdr:rowOff>498475</xdr:rowOff>
    </xdr:to>
    <xdr:pic>
      <xdr:nvPicPr>
        <xdr:cNvPr id="6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58628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859</xdr:row>
      <xdr:rowOff>257175</xdr:rowOff>
    </xdr:from>
    <xdr:to>
      <xdr:col>3</xdr:col>
      <xdr:colOff>514350</xdr:colOff>
      <xdr:row>859</xdr:row>
      <xdr:rowOff>476250</xdr:rowOff>
    </xdr:to>
    <xdr:pic>
      <xdr:nvPicPr>
        <xdr:cNvPr id="6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58606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863</xdr:row>
      <xdr:rowOff>279400</xdr:rowOff>
    </xdr:from>
    <xdr:to>
      <xdr:col>10</xdr:col>
      <xdr:colOff>196850</xdr:colOff>
      <xdr:row>863</xdr:row>
      <xdr:rowOff>498475</xdr:rowOff>
    </xdr:to>
    <xdr:pic>
      <xdr:nvPicPr>
        <xdr:cNvPr id="6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6105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863</xdr:row>
      <xdr:rowOff>257175</xdr:rowOff>
    </xdr:from>
    <xdr:to>
      <xdr:col>10</xdr:col>
      <xdr:colOff>514350</xdr:colOff>
      <xdr:row>863</xdr:row>
      <xdr:rowOff>476250</xdr:rowOff>
    </xdr:to>
    <xdr:pic>
      <xdr:nvPicPr>
        <xdr:cNvPr id="6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6103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863</xdr:row>
      <xdr:rowOff>279400</xdr:rowOff>
    </xdr:from>
    <xdr:to>
      <xdr:col>3</xdr:col>
      <xdr:colOff>196850</xdr:colOff>
      <xdr:row>863</xdr:row>
      <xdr:rowOff>498475</xdr:rowOff>
    </xdr:to>
    <xdr:pic>
      <xdr:nvPicPr>
        <xdr:cNvPr id="6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1057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863</xdr:row>
      <xdr:rowOff>257175</xdr:rowOff>
    </xdr:from>
    <xdr:to>
      <xdr:col>3</xdr:col>
      <xdr:colOff>514350</xdr:colOff>
      <xdr:row>863</xdr:row>
      <xdr:rowOff>476250</xdr:rowOff>
    </xdr:to>
    <xdr:pic>
      <xdr:nvPicPr>
        <xdr:cNvPr id="6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1035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873</xdr:row>
      <xdr:rowOff>279400</xdr:rowOff>
    </xdr:from>
    <xdr:to>
      <xdr:col>10</xdr:col>
      <xdr:colOff>196850</xdr:colOff>
      <xdr:row>873</xdr:row>
      <xdr:rowOff>498475</xdr:rowOff>
    </xdr:to>
    <xdr:pic>
      <xdr:nvPicPr>
        <xdr:cNvPr id="6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68905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873</xdr:row>
      <xdr:rowOff>257175</xdr:rowOff>
    </xdr:from>
    <xdr:to>
      <xdr:col>10</xdr:col>
      <xdr:colOff>514350</xdr:colOff>
      <xdr:row>873</xdr:row>
      <xdr:rowOff>476250</xdr:rowOff>
    </xdr:to>
    <xdr:pic>
      <xdr:nvPicPr>
        <xdr:cNvPr id="6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68883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873</xdr:row>
      <xdr:rowOff>279400</xdr:rowOff>
    </xdr:from>
    <xdr:to>
      <xdr:col>3</xdr:col>
      <xdr:colOff>196850</xdr:colOff>
      <xdr:row>873</xdr:row>
      <xdr:rowOff>498475</xdr:rowOff>
    </xdr:to>
    <xdr:pic>
      <xdr:nvPicPr>
        <xdr:cNvPr id="6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68905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873</xdr:row>
      <xdr:rowOff>257175</xdr:rowOff>
    </xdr:from>
    <xdr:to>
      <xdr:col>3</xdr:col>
      <xdr:colOff>514350</xdr:colOff>
      <xdr:row>873</xdr:row>
      <xdr:rowOff>476250</xdr:rowOff>
    </xdr:to>
    <xdr:pic>
      <xdr:nvPicPr>
        <xdr:cNvPr id="6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688836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880</xdr:row>
      <xdr:rowOff>279400</xdr:rowOff>
    </xdr:from>
    <xdr:to>
      <xdr:col>10</xdr:col>
      <xdr:colOff>196850</xdr:colOff>
      <xdr:row>880</xdr:row>
      <xdr:rowOff>498475</xdr:rowOff>
    </xdr:to>
    <xdr:pic>
      <xdr:nvPicPr>
        <xdr:cNvPr id="6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7463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880</xdr:row>
      <xdr:rowOff>257175</xdr:rowOff>
    </xdr:from>
    <xdr:to>
      <xdr:col>10</xdr:col>
      <xdr:colOff>514350</xdr:colOff>
      <xdr:row>880</xdr:row>
      <xdr:rowOff>476250</xdr:rowOff>
    </xdr:to>
    <xdr:pic>
      <xdr:nvPicPr>
        <xdr:cNvPr id="6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74608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880</xdr:row>
      <xdr:rowOff>279400</xdr:rowOff>
    </xdr:from>
    <xdr:to>
      <xdr:col>3</xdr:col>
      <xdr:colOff>196850</xdr:colOff>
      <xdr:row>880</xdr:row>
      <xdr:rowOff>498475</xdr:rowOff>
    </xdr:to>
    <xdr:pic>
      <xdr:nvPicPr>
        <xdr:cNvPr id="6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74630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880</xdr:row>
      <xdr:rowOff>257175</xdr:rowOff>
    </xdr:from>
    <xdr:to>
      <xdr:col>3</xdr:col>
      <xdr:colOff>514350</xdr:colOff>
      <xdr:row>880</xdr:row>
      <xdr:rowOff>476250</xdr:rowOff>
    </xdr:to>
    <xdr:pic>
      <xdr:nvPicPr>
        <xdr:cNvPr id="6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74608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887</xdr:row>
      <xdr:rowOff>279400</xdr:rowOff>
    </xdr:from>
    <xdr:to>
      <xdr:col>10</xdr:col>
      <xdr:colOff>196850</xdr:colOff>
      <xdr:row>887</xdr:row>
      <xdr:rowOff>498475</xdr:rowOff>
    </xdr:to>
    <xdr:pic>
      <xdr:nvPicPr>
        <xdr:cNvPr id="6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80507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887</xdr:row>
      <xdr:rowOff>257175</xdr:rowOff>
    </xdr:from>
    <xdr:to>
      <xdr:col>10</xdr:col>
      <xdr:colOff>514350</xdr:colOff>
      <xdr:row>887</xdr:row>
      <xdr:rowOff>476250</xdr:rowOff>
    </xdr:to>
    <xdr:pic>
      <xdr:nvPicPr>
        <xdr:cNvPr id="6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80485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887</xdr:row>
      <xdr:rowOff>279400</xdr:rowOff>
    </xdr:from>
    <xdr:to>
      <xdr:col>3</xdr:col>
      <xdr:colOff>196850</xdr:colOff>
      <xdr:row>887</xdr:row>
      <xdr:rowOff>498475</xdr:rowOff>
    </xdr:to>
    <xdr:pic>
      <xdr:nvPicPr>
        <xdr:cNvPr id="6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0507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887</xdr:row>
      <xdr:rowOff>257175</xdr:rowOff>
    </xdr:from>
    <xdr:to>
      <xdr:col>3</xdr:col>
      <xdr:colOff>514350</xdr:colOff>
      <xdr:row>887</xdr:row>
      <xdr:rowOff>476250</xdr:rowOff>
    </xdr:to>
    <xdr:pic>
      <xdr:nvPicPr>
        <xdr:cNvPr id="6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0485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897</xdr:row>
      <xdr:rowOff>279400</xdr:rowOff>
    </xdr:from>
    <xdr:to>
      <xdr:col>10</xdr:col>
      <xdr:colOff>196850</xdr:colOff>
      <xdr:row>897</xdr:row>
      <xdr:rowOff>498475</xdr:rowOff>
    </xdr:to>
    <xdr:pic>
      <xdr:nvPicPr>
        <xdr:cNvPr id="6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88660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897</xdr:row>
      <xdr:rowOff>257175</xdr:rowOff>
    </xdr:from>
    <xdr:to>
      <xdr:col>10</xdr:col>
      <xdr:colOff>514350</xdr:colOff>
      <xdr:row>897</xdr:row>
      <xdr:rowOff>476250</xdr:rowOff>
    </xdr:to>
    <xdr:pic>
      <xdr:nvPicPr>
        <xdr:cNvPr id="6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8863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897</xdr:row>
      <xdr:rowOff>279400</xdr:rowOff>
    </xdr:from>
    <xdr:to>
      <xdr:col>3</xdr:col>
      <xdr:colOff>196850</xdr:colOff>
      <xdr:row>897</xdr:row>
      <xdr:rowOff>498475</xdr:rowOff>
    </xdr:to>
    <xdr:pic>
      <xdr:nvPicPr>
        <xdr:cNvPr id="6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88660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897</xdr:row>
      <xdr:rowOff>257175</xdr:rowOff>
    </xdr:from>
    <xdr:to>
      <xdr:col>3</xdr:col>
      <xdr:colOff>514350</xdr:colOff>
      <xdr:row>897</xdr:row>
      <xdr:rowOff>476250</xdr:rowOff>
    </xdr:to>
    <xdr:pic>
      <xdr:nvPicPr>
        <xdr:cNvPr id="6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886384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904</xdr:row>
      <xdr:rowOff>279400</xdr:rowOff>
    </xdr:from>
    <xdr:to>
      <xdr:col>10</xdr:col>
      <xdr:colOff>196850</xdr:colOff>
      <xdr:row>904</xdr:row>
      <xdr:rowOff>498475</xdr:rowOff>
    </xdr:to>
    <xdr:pic>
      <xdr:nvPicPr>
        <xdr:cNvPr id="6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94032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904</xdr:row>
      <xdr:rowOff>257175</xdr:rowOff>
    </xdr:from>
    <xdr:to>
      <xdr:col>10</xdr:col>
      <xdr:colOff>514350</xdr:colOff>
      <xdr:row>904</xdr:row>
      <xdr:rowOff>476250</xdr:rowOff>
    </xdr:to>
    <xdr:pic>
      <xdr:nvPicPr>
        <xdr:cNvPr id="6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94010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904</xdr:row>
      <xdr:rowOff>279400</xdr:rowOff>
    </xdr:from>
    <xdr:to>
      <xdr:col>3</xdr:col>
      <xdr:colOff>196850</xdr:colOff>
      <xdr:row>904</xdr:row>
      <xdr:rowOff>498475</xdr:rowOff>
    </xdr:to>
    <xdr:pic>
      <xdr:nvPicPr>
        <xdr:cNvPr id="6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94032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904</xdr:row>
      <xdr:rowOff>257175</xdr:rowOff>
    </xdr:from>
    <xdr:to>
      <xdr:col>3</xdr:col>
      <xdr:colOff>514350</xdr:colOff>
      <xdr:row>904</xdr:row>
      <xdr:rowOff>476250</xdr:rowOff>
    </xdr:to>
    <xdr:pic>
      <xdr:nvPicPr>
        <xdr:cNvPr id="6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940105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911</xdr:row>
      <xdr:rowOff>279400</xdr:rowOff>
    </xdr:from>
    <xdr:to>
      <xdr:col>10</xdr:col>
      <xdr:colOff>196850</xdr:colOff>
      <xdr:row>911</xdr:row>
      <xdr:rowOff>498475</xdr:rowOff>
    </xdr:to>
    <xdr:pic>
      <xdr:nvPicPr>
        <xdr:cNvPr id="6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699823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911</xdr:row>
      <xdr:rowOff>257175</xdr:rowOff>
    </xdr:from>
    <xdr:to>
      <xdr:col>10</xdr:col>
      <xdr:colOff>514350</xdr:colOff>
      <xdr:row>911</xdr:row>
      <xdr:rowOff>476250</xdr:rowOff>
    </xdr:to>
    <xdr:pic>
      <xdr:nvPicPr>
        <xdr:cNvPr id="6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69980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911</xdr:row>
      <xdr:rowOff>279400</xdr:rowOff>
    </xdr:from>
    <xdr:to>
      <xdr:col>3</xdr:col>
      <xdr:colOff>196850</xdr:colOff>
      <xdr:row>911</xdr:row>
      <xdr:rowOff>498475</xdr:rowOff>
    </xdr:to>
    <xdr:pic>
      <xdr:nvPicPr>
        <xdr:cNvPr id="6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699823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911</xdr:row>
      <xdr:rowOff>257175</xdr:rowOff>
    </xdr:from>
    <xdr:to>
      <xdr:col>3</xdr:col>
      <xdr:colOff>514350</xdr:colOff>
      <xdr:row>911</xdr:row>
      <xdr:rowOff>476250</xdr:rowOff>
    </xdr:to>
    <xdr:pic>
      <xdr:nvPicPr>
        <xdr:cNvPr id="6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699801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915</xdr:row>
      <xdr:rowOff>279400</xdr:rowOff>
    </xdr:from>
    <xdr:to>
      <xdr:col>10</xdr:col>
      <xdr:colOff>196850</xdr:colOff>
      <xdr:row>915</xdr:row>
      <xdr:rowOff>498475</xdr:rowOff>
    </xdr:to>
    <xdr:pic>
      <xdr:nvPicPr>
        <xdr:cNvPr id="6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0239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915</xdr:row>
      <xdr:rowOff>257175</xdr:rowOff>
    </xdr:from>
    <xdr:to>
      <xdr:col>10</xdr:col>
      <xdr:colOff>514350</xdr:colOff>
      <xdr:row>915</xdr:row>
      <xdr:rowOff>476250</xdr:rowOff>
    </xdr:to>
    <xdr:pic>
      <xdr:nvPicPr>
        <xdr:cNvPr id="6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0237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915</xdr:row>
      <xdr:rowOff>279400</xdr:rowOff>
    </xdr:from>
    <xdr:to>
      <xdr:col>3</xdr:col>
      <xdr:colOff>196850</xdr:colOff>
      <xdr:row>915</xdr:row>
      <xdr:rowOff>498475</xdr:rowOff>
    </xdr:to>
    <xdr:pic>
      <xdr:nvPicPr>
        <xdr:cNvPr id="6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0239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915</xdr:row>
      <xdr:rowOff>257175</xdr:rowOff>
    </xdr:from>
    <xdr:to>
      <xdr:col>3</xdr:col>
      <xdr:colOff>514350</xdr:colOff>
      <xdr:row>915</xdr:row>
      <xdr:rowOff>476250</xdr:rowOff>
    </xdr:to>
    <xdr:pic>
      <xdr:nvPicPr>
        <xdr:cNvPr id="6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0237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925</xdr:row>
      <xdr:rowOff>279400</xdr:rowOff>
    </xdr:from>
    <xdr:to>
      <xdr:col>10</xdr:col>
      <xdr:colOff>196850</xdr:colOff>
      <xdr:row>925</xdr:row>
      <xdr:rowOff>498475</xdr:rowOff>
    </xdr:to>
    <xdr:pic>
      <xdr:nvPicPr>
        <xdr:cNvPr id="6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1093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925</xdr:row>
      <xdr:rowOff>257175</xdr:rowOff>
    </xdr:from>
    <xdr:to>
      <xdr:col>10</xdr:col>
      <xdr:colOff>514350</xdr:colOff>
      <xdr:row>925</xdr:row>
      <xdr:rowOff>476250</xdr:rowOff>
    </xdr:to>
    <xdr:pic>
      <xdr:nvPicPr>
        <xdr:cNvPr id="6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1090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925</xdr:row>
      <xdr:rowOff>279400</xdr:rowOff>
    </xdr:from>
    <xdr:to>
      <xdr:col>3</xdr:col>
      <xdr:colOff>196850</xdr:colOff>
      <xdr:row>925</xdr:row>
      <xdr:rowOff>498475</xdr:rowOff>
    </xdr:to>
    <xdr:pic>
      <xdr:nvPicPr>
        <xdr:cNvPr id="6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0930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925</xdr:row>
      <xdr:rowOff>257175</xdr:rowOff>
    </xdr:from>
    <xdr:to>
      <xdr:col>3</xdr:col>
      <xdr:colOff>514350</xdr:colOff>
      <xdr:row>925</xdr:row>
      <xdr:rowOff>476250</xdr:rowOff>
    </xdr:to>
    <xdr:pic>
      <xdr:nvPicPr>
        <xdr:cNvPr id="6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0907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932</xdr:row>
      <xdr:rowOff>279400</xdr:rowOff>
    </xdr:from>
    <xdr:to>
      <xdr:col>10</xdr:col>
      <xdr:colOff>196850</xdr:colOff>
      <xdr:row>932</xdr:row>
      <xdr:rowOff>498475</xdr:rowOff>
    </xdr:to>
    <xdr:pic>
      <xdr:nvPicPr>
        <xdr:cNvPr id="6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16816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932</xdr:row>
      <xdr:rowOff>257175</xdr:rowOff>
    </xdr:from>
    <xdr:to>
      <xdr:col>10</xdr:col>
      <xdr:colOff>514350</xdr:colOff>
      <xdr:row>932</xdr:row>
      <xdr:rowOff>476250</xdr:rowOff>
    </xdr:to>
    <xdr:pic>
      <xdr:nvPicPr>
        <xdr:cNvPr id="6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1679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932</xdr:row>
      <xdr:rowOff>279400</xdr:rowOff>
    </xdr:from>
    <xdr:to>
      <xdr:col>3</xdr:col>
      <xdr:colOff>196850</xdr:colOff>
      <xdr:row>932</xdr:row>
      <xdr:rowOff>498475</xdr:rowOff>
    </xdr:to>
    <xdr:pic>
      <xdr:nvPicPr>
        <xdr:cNvPr id="6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16816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932</xdr:row>
      <xdr:rowOff>257175</xdr:rowOff>
    </xdr:from>
    <xdr:to>
      <xdr:col>3</xdr:col>
      <xdr:colOff>514350</xdr:colOff>
      <xdr:row>932</xdr:row>
      <xdr:rowOff>476250</xdr:rowOff>
    </xdr:to>
    <xdr:pic>
      <xdr:nvPicPr>
        <xdr:cNvPr id="6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1679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939</xdr:row>
      <xdr:rowOff>279400</xdr:rowOff>
    </xdr:from>
    <xdr:to>
      <xdr:col>10</xdr:col>
      <xdr:colOff>196850</xdr:colOff>
      <xdr:row>939</xdr:row>
      <xdr:rowOff>498475</xdr:rowOff>
    </xdr:to>
    <xdr:pic>
      <xdr:nvPicPr>
        <xdr:cNvPr id="6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2636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939</xdr:row>
      <xdr:rowOff>257175</xdr:rowOff>
    </xdr:from>
    <xdr:to>
      <xdr:col>10</xdr:col>
      <xdr:colOff>514350</xdr:colOff>
      <xdr:row>939</xdr:row>
      <xdr:rowOff>476250</xdr:rowOff>
    </xdr:to>
    <xdr:pic>
      <xdr:nvPicPr>
        <xdr:cNvPr id="62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2261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939</xdr:row>
      <xdr:rowOff>279400</xdr:rowOff>
    </xdr:from>
    <xdr:to>
      <xdr:col>3</xdr:col>
      <xdr:colOff>196850</xdr:colOff>
      <xdr:row>939</xdr:row>
      <xdr:rowOff>498475</xdr:rowOff>
    </xdr:to>
    <xdr:pic>
      <xdr:nvPicPr>
        <xdr:cNvPr id="6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2636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939</xdr:row>
      <xdr:rowOff>257175</xdr:rowOff>
    </xdr:from>
    <xdr:to>
      <xdr:col>3</xdr:col>
      <xdr:colOff>514350</xdr:colOff>
      <xdr:row>939</xdr:row>
      <xdr:rowOff>476250</xdr:rowOff>
    </xdr:to>
    <xdr:pic>
      <xdr:nvPicPr>
        <xdr:cNvPr id="6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2261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943</xdr:row>
      <xdr:rowOff>279400</xdr:rowOff>
    </xdr:from>
    <xdr:to>
      <xdr:col>10</xdr:col>
      <xdr:colOff>196850</xdr:colOff>
      <xdr:row>943</xdr:row>
      <xdr:rowOff>498475</xdr:rowOff>
    </xdr:to>
    <xdr:pic>
      <xdr:nvPicPr>
        <xdr:cNvPr id="6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25036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943</xdr:row>
      <xdr:rowOff>257175</xdr:rowOff>
    </xdr:from>
    <xdr:to>
      <xdr:col>10</xdr:col>
      <xdr:colOff>514350</xdr:colOff>
      <xdr:row>943</xdr:row>
      <xdr:rowOff>476250</xdr:rowOff>
    </xdr:to>
    <xdr:pic>
      <xdr:nvPicPr>
        <xdr:cNvPr id="6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2501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943</xdr:row>
      <xdr:rowOff>279400</xdr:rowOff>
    </xdr:from>
    <xdr:to>
      <xdr:col>3</xdr:col>
      <xdr:colOff>196850</xdr:colOff>
      <xdr:row>943</xdr:row>
      <xdr:rowOff>498475</xdr:rowOff>
    </xdr:to>
    <xdr:pic>
      <xdr:nvPicPr>
        <xdr:cNvPr id="6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25036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943</xdr:row>
      <xdr:rowOff>257175</xdr:rowOff>
    </xdr:from>
    <xdr:to>
      <xdr:col>3</xdr:col>
      <xdr:colOff>514350</xdr:colOff>
      <xdr:row>943</xdr:row>
      <xdr:rowOff>476250</xdr:rowOff>
    </xdr:to>
    <xdr:pic>
      <xdr:nvPicPr>
        <xdr:cNvPr id="6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25014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962</xdr:row>
      <xdr:rowOff>279400</xdr:rowOff>
    </xdr:from>
    <xdr:to>
      <xdr:col>10</xdr:col>
      <xdr:colOff>196850</xdr:colOff>
      <xdr:row>962</xdr:row>
      <xdr:rowOff>498475</xdr:rowOff>
    </xdr:to>
    <xdr:pic>
      <xdr:nvPicPr>
        <xdr:cNvPr id="6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40162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962</xdr:row>
      <xdr:rowOff>257175</xdr:rowOff>
    </xdr:from>
    <xdr:to>
      <xdr:col>10</xdr:col>
      <xdr:colOff>514350</xdr:colOff>
      <xdr:row>962</xdr:row>
      <xdr:rowOff>476250</xdr:rowOff>
    </xdr:to>
    <xdr:pic>
      <xdr:nvPicPr>
        <xdr:cNvPr id="6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40140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962</xdr:row>
      <xdr:rowOff>279400</xdr:rowOff>
    </xdr:from>
    <xdr:to>
      <xdr:col>3</xdr:col>
      <xdr:colOff>196850</xdr:colOff>
      <xdr:row>962</xdr:row>
      <xdr:rowOff>498475</xdr:rowOff>
    </xdr:to>
    <xdr:pic>
      <xdr:nvPicPr>
        <xdr:cNvPr id="6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0162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962</xdr:row>
      <xdr:rowOff>257175</xdr:rowOff>
    </xdr:from>
    <xdr:to>
      <xdr:col>3</xdr:col>
      <xdr:colOff>514350</xdr:colOff>
      <xdr:row>962</xdr:row>
      <xdr:rowOff>476250</xdr:rowOff>
    </xdr:to>
    <xdr:pic>
      <xdr:nvPicPr>
        <xdr:cNvPr id="6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0140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969</xdr:row>
      <xdr:rowOff>279400</xdr:rowOff>
    </xdr:from>
    <xdr:to>
      <xdr:col>10</xdr:col>
      <xdr:colOff>196850</xdr:colOff>
      <xdr:row>969</xdr:row>
      <xdr:rowOff>498475</xdr:rowOff>
    </xdr:to>
    <xdr:pic>
      <xdr:nvPicPr>
        <xdr:cNvPr id="6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46105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969</xdr:row>
      <xdr:rowOff>257175</xdr:rowOff>
    </xdr:from>
    <xdr:to>
      <xdr:col>10</xdr:col>
      <xdr:colOff>514350</xdr:colOff>
      <xdr:row>969</xdr:row>
      <xdr:rowOff>476250</xdr:rowOff>
    </xdr:to>
    <xdr:pic>
      <xdr:nvPicPr>
        <xdr:cNvPr id="6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46083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969</xdr:row>
      <xdr:rowOff>279400</xdr:rowOff>
    </xdr:from>
    <xdr:to>
      <xdr:col>3</xdr:col>
      <xdr:colOff>196850</xdr:colOff>
      <xdr:row>969</xdr:row>
      <xdr:rowOff>498475</xdr:rowOff>
    </xdr:to>
    <xdr:pic>
      <xdr:nvPicPr>
        <xdr:cNvPr id="6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46105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969</xdr:row>
      <xdr:rowOff>257175</xdr:rowOff>
    </xdr:from>
    <xdr:to>
      <xdr:col>3</xdr:col>
      <xdr:colOff>514350</xdr:colOff>
      <xdr:row>969</xdr:row>
      <xdr:rowOff>476250</xdr:rowOff>
    </xdr:to>
    <xdr:pic>
      <xdr:nvPicPr>
        <xdr:cNvPr id="6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46083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976</xdr:row>
      <xdr:rowOff>279400</xdr:rowOff>
    </xdr:from>
    <xdr:to>
      <xdr:col>10</xdr:col>
      <xdr:colOff>196850</xdr:colOff>
      <xdr:row>976</xdr:row>
      <xdr:rowOff>498475</xdr:rowOff>
    </xdr:to>
    <xdr:pic>
      <xdr:nvPicPr>
        <xdr:cNvPr id="6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5203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976</xdr:row>
      <xdr:rowOff>257175</xdr:rowOff>
    </xdr:from>
    <xdr:to>
      <xdr:col>10</xdr:col>
      <xdr:colOff>514350</xdr:colOff>
      <xdr:row>976</xdr:row>
      <xdr:rowOff>476250</xdr:rowOff>
    </xdr:to>
    <xdr:pic>
      <xdr:nvPicPr>
        <xdr:cNvPr id="6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5200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976</xdr:row>
      <xdr:rowOff>279400</xdr:rowOff>
    </xdr:from>
    <xdr:to>
      <xdr:col>3</xdr:col>
      <xdr:colOff>196850</xdr:colOff>
      <xdr:row>976</xdr:row>
      <xdr:rowOff>498475</xdr:rowOff>
    </xdr:to>
    <xdr:pic>
      <xdr:nvPicPr>
        <xdr:cNvPr id="6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2030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976</xdr:row>
      <xdr:rowOff>257175</xdr:rowOff>
    </xdr:from>
    <xdr:to>
      <xdr:col>3</xdr:col>
      <xdr:colOff>514350</xdr:colOff>
      <xdr:row>976</xdr:row>
      <xdr:rowOff>476250</xdr:rowOff>
    </xdr:to>
    <xdr:pic>
      <xdr:nvPicPr>
        <xdr:cNvPr id="6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2008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990</xdr:row>
      <xdr:rowOff>279400</xdr:rowOff>
    </xdr:from>
    <xdr:to>
      <xdr:col>10</xdr:col>
      <xdr:colOff>196850</xdr:colOff>
      <xdr:row>990</xdr:row>
      <xdr:rowOff>498475</xdr:rowOff>
    </xdr:to>
    <xdr:pic>
      <xdr:nvPicPr>
        <xdr:cNvPr id="6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6230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990</xdr:row>
      <xdr:rowOff>257175</xdr:rowOff>
    </xdr:from>
    <xdr:to>
      <xdr:col>10</xdr:col>
      <xdr:colOff>514350</xdr:colOff>
      <xdr:row>990</xdr:row>
      <xdr:rowOff>476250</xdr:rowOff>
    </xdr:to>
    <xdr:pic>
      <xdr:nvPicPr>
        <xdr:cNvPr id="6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62285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990</xdr:row>
      <xdr:rowOff>279400</xdr:rowOff>
    </xdr:from>
    <xdr:to>
      <xdr:col>3</xdr:col>
      <xdr:colOff>196850</xdr:colOff>
      <xdr:row>990</xdr:row>
      <xdr:rowOff>498475</xdr:rowOff>
    </xdr:to>
    <xdr:pic>
      <xdr:nvPicPr>
        <xdr:cNvPr id="6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623079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990</xdr:row>
      <xdr:rowOff>257175</xdr:rowOff>
    </xdr:from>
    <xdr:to>
      <xdr:col>3</xdr:col>
      <xdr:colOff>514350</xdr:colOff>
      <xdr:row>990</xdr:row>
      <xdr:rowOff>476250</xdr:rowOff>
    </xdr:to>
    <xdr:pic>
      <xdr:nvPicPr>
        <xdr:cNvPr id="6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622857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997</xdr:row>
      <xdr:rowOff>279400</xdr:rowOff>
    </xdr:from>
    <xdr:to>
      <xdr:col>10</xdr:col>
      <xdr:colOff>196850</xdr:colOff>
      <xdr:row>997</xdr:row>
      <xdr:rowOff>498475</xdr:rowOff>
    </xdr:to>
    <xdr:pic>
      <xdr:nvPicPr>
        <xdr:cNvPr id="6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6770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997</xdr:row>
      <xdr:rowOff>257175</xdr:rowOff>
    </xdr:from>
    <xdr:to>
      <xdr:col>10</xdr:col>
      <xdr:colOff>514350</xdr:colOff>
      <xdr:row>997</xdr:row>
      <xdr:rowOff>476250</xdr:rowOff>
    </xdr:to>
    <xdr:pic>
      <xdr:nvPicPr>
        <xdr:cNvPr id="6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6768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997</xdr:row>
      <xdr:rowOff>279400</xdr:rowOff>
    </xdr:from>
    <xdr:to>
      <xdr:col>3</xdr:col>
      <xdr:colOff>196850</xdr:colOff>
      <xdr:row>997</xdr:row>
      <xdr:rowOff>498475</xdr:rowOff>
    </xdr:to>
    <xdr:pic>
      <xdr:nvPicPr>
        <xdr:cNvPr id="6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67708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997</xdr:row>
      <xdr:rowOff>257175</xdr:rowOff>
    </xdr:from>
    <xdr:to>
      <xdr:col>3</xdr:col>
      <xdr:colOff>514350</xdr:colOff>
      <xdr:row>997</xdr:row>
      <xdr:rowOff>476250</xdr:rowOff>
    </xdr:to>
    <xdr:pic>
      <xdr:nvPicPr>
        <xdr:cNvPr id="6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6768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1004</xdr:row>
      <xdr:rowOff>279400</xdr:rowOff>
    </xdr:from>
    <xdr:to>
      <xdr:col>10</xdr:col>
      <xdr:colOff>196850</xdr:colOff>
      <xdr:row>1004</xdr:row>
      <xdr:rowOff>498475</xdr:rowOff>
    </xdr:to>
    <xdr:pic>
      <xdr:nvPicPr>
        <xdr:cNvPr id="6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7315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1004</xdr:row>
      <xdr:rowOff>257175</xdr:rowOff>
    </xdr:from>
    <xdr:to>
      <xdr:col>10</xdr:col>
      <xdr:colOff>514350</xdr:colOff>
      <xdr:row>1004</xdr:row>
      <xdr:rowOff>476250</xdr:rowOff>
    </xdr:to>
    <xdr:pic>
      <xdr:nvPicPr>
        <xdr:cNvPr id="6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7313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1004</xdr:row>
      <xdr:rowOff>279400</xdr:rowOff>
    </xdr:from>
    <xdr:to>
      <xdr:col>3</xdr:col>
      <xdr:colOff>196850</xdr:colOff>
      <xdr:row>1004</xdr:row>
      <xdr:rowOff>498475</xdr:rowOff>
    </xdr:to>
    <xdr:pic>
      <xdr:nvPicPr>
        <xdr:cNvPr id="6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3156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1004</xdr:row>
      <xdr:rowOff>257175</xdr:rowOff>
    </xdr:from>
    <xdr:to>
      <xdr:col>3</xdr:col>
      <xdr:colOff>514350</xdr:colOff>
      <xdr:row>1004</xdr:row>
      <xdr:rowOff>476250</xdr:rowOff>
    </xdr:to>
    <xdr:pic>
      <xdr:nvPicPr>
        <xdr:cNvPr id="6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3134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1008</xdr:row>
      <xdr:rowOff>279400</xdr:rowOff>
    </xdr:from>
    <xdr:to>
      <xdr:col>10</xdr:col>
      <xdr:colOff>196850</xdr:colOff>
      <xdr:row>1008</xdr:row>
      <xdr:rowOff>498475</xdr:rowOff>
    </xdr:to>
    <xdr:pic>
      <xdr:nvPicPr>
        <xdr:cNvPr id="6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755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1008</xdr:row>
      <xdr:rowOff>257175</xdr:rowOff>
    </xdr:from>
    <xdr:to>
      <xdr:col>10</xdr:col>
      <xdr:colOff>514350</xdr:colOff>
      <xdr:row>1008</xdr:row>
      <xdr:rowOff>476250</xdr:rowOff>
    </xdr:to>
    <xdr:pic>
      <xdr:nvPicPr>
        <xdr:cNvPr id="6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755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1008</xdr:row>
      <xdr:rowOff>279400</xdr:rowOff>
    </xdr:from>
    <xdr:to>
      <xdr:col>3</xdr:col>
      <xdr:colOff>196850</xdr:colOff>
      <xdr:row>1008</xdr:row>
      <xdr:rowOff>498475</xdr:rowOff>
    </xdr:to>
    <xdr:pic>
      <xdr:nvPicPr>
        <xdr:cNvPr id="6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55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1008</xdr:row>
      <xdr:rowOff>257175</xdr:rowOff>
    </xdr:from>
    <xdr:to>
      <xdr:col>3</xdr:col>
      <xdr:colOff>514350</xdr:colOff>
      <xdr:row>1008</xdr:row>
      <xdr:rowOff>476250</xdr:rowOff>
    </xdr:to>
    <xdr:pic>
      <xdr:nvPicPr>
        <xdr:cNvPr id="6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55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1018</xdr:row>
      <xdr:rowOff>279400</xdr:rowOff>
    </xdr:from>
    <xdr:to>
      <xdr:col>10</xdr:col>
      <xdr:colOff>196850</xdr:colOff>
      <xdr:row>1018</xdr:row>
      <xdr:rowOff>498475</xdr:rowOff>
    </xdr:to>
    <xdr:pic>
      <xdr:nvPicPr>
        <xdr:cNvPr id="6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8333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1018</xdr:row>
      <xdr:rowOff>257175</xdr:rowOff>
    </xdr:from>
    <xdr:to>
      <xdr:col>10</xdr:col>
      <xdr:colOff>514350</xdr:colOff>
      <xdr:row>1018</xdr:row>
      <xdr:rowOff>476250</xdr:rowOff>
    </xdr:to>
    <xdr:pic>
      <xdr:nvPicPr>
        <xdr:cNvPr id="6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83316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1018</xdr:row>
      <xdr:rowOff>279400</xdr:rowOff>
    </xdr:from>
    <xdr:to>
      <xdr:col>3</xdr:col>
      <xdr:colOff>196850</xdr:colOff>
      <xdr:row>1018</xdr:row>
      <xdr:rowOff>498475</xdr:rowOff>
    </xdr:to>
    <xdr:pic>
      <xdr:nvPicPr>
        <xdr:cNvPr id="6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3339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1018</xdr:row>
      <xdr:rowOff>257175</xdr:rowOff>
    </xdr:from>
    <xdr:to>
      <xdr:col>3</xdr:col>
      <xdr:colOff>514350</xdr:colOff>
      <xdr:row>1018</xdr:row>
      <xdr:rowOff>476250</xdr:rowOff>
    </xdr:to>
    <xdr:pic>
      <xdr:nvPicPr>
        <xdr:cNvPr id="6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3316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1025</xdr:row>
      <xdr:rowOff>279400</xdr:rowOff>
    </xdr:from>
    <xdr:to>
      <xdr:col>10</xdr:col>
      <xdr:colOff>196850</xdr:colOff>
      <xdr:row>1025</xdr:row>
      <xdr:rowOff>498475</xdr:rowOff>
    </xdr:to>
    <xdr:pic>
      <xdr:nvPicPr>
        <xdr:cNvPr id="6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88949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1025</xdr:row>
      <xdr:rowOff>257175</xdr:rowOff>
    </xdr:from>
    <xdr:to>
      <xdr:col>10</xdr:col>
      <xdr:colOff>514350</xdr:colOff>
      <xdr:row>1025</xdr:row>
      <xdr:rowOff>476250</xdr:rowOff>
    </xdr:to>
    <xdr:pic>
      <xdr:nvPicPr>
        <xdr:cNvPr id="6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8892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1025</xdr:row>
      <xdr:rowOff>279400</xdr:rowOff>
    </xdr:from>
    <xdr:to>
      <xdr:col>3</xdr:col>
      <xdr:colOff>196850</xdr:colOff>
      <xdr:row>1025</xdr:row>
      <xdr:rowOff>498475</xdr:rowOff>
    </xdr:to>
    <xdr:pic>
      <xdr:nvPicPr>
        <xdr:cNvPr id="6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88949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1025</xdr:row>
      <xdr:rowOff>257175</xdr:rowOff>
    </xdr:from>
    <xdr:to>
      <xdr:col>3</xdr:col>
      <xdr:colOff>514350</xdr:colOff>
      <xdr:row>1025</xdr:row>
      <xdr:rowOff>476250</xdr:rowOff>
    </xdr:to>
    <xdr:pic>
      <xdr:nvPicPr>
        <xdr:cNvPr id="6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88927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1032</xdr:row>
      <xdr:rowOff>279400</xdr:rowOff>
    </xdr:from>
    <xdr:to>
      <xdr:col>10</xdr:col>
      <xdr:colOff>196850</xdr:colOff>
      <xdr:row>1032</xdr:row>
      <xdr:rowOff>498475</xdr:rowOff>
    </xdr:to>
    <xdr:pic>
      <xdr:nvPicPr>
        <xdr:cNvPr id="6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4626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1032</xdr:row>
      <xdr:rowOff>257175</xdr:rowOff>
    </xdr:from>
    <xdr:to>
      <xdr:col>10</xdr:col>
      <xdr:colOff>514350</xdr:colOff>
      <xdr:row>1032</xdr:row>
      <xdr:rowOff>476250</xdr:rowOff>
    </xdr:to>
    <xdr:pic>
      <xdr:nvPicPr>
        <xdr:cNvPr id="6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9460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1032</xdr:row>
      <xdr:rowOff>279400</xdr:rowOff>
    </xdr:from>
    <xdr:to>
      <xdr:col>3</xdr:col>
      <xdr:colOff>196850</xdr:colOff>
      <xdr:row>1032</xdr:row>
      <xdr:rowOff>498475</xdr:rowOff>
    </xdr:to>
    <xdr:pic>
      <xdr:nvPicPr>
        <xdr:cNvPr id="6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4626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1032</xdr:row>
      <xdr:rowOff>257175</xdr:rowOff>
    </xdr:from>
    <xdr:to>
      <xdr:col>3</xdr:col>
      <xdr:colOff>514350</xdr:colOff>
      <xdr:row>1032</xdr:row>
      <xdr:rowOff>476250</xdr:rowOff>
    </xdr:to>
    <xdr:pic>
      <xdr:nvPicPr>
        <xdr:cNvPr id="6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4604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1008</xdr:row>
      <xdr:rowOff>279400</xdr:rowOff>
    </xdr:from>
    <xdr:to>
      <xdr:col>10</xdr:col>
      <xdr:colOff>196850</xdr:colOff>
      <xdr:row>1008</xdr:row>
      <xdr:rowOff>498475</xdr:rowOff>
    </xdr:to>
    <xdr:pic>
      <xdr:nvPicPr>
        <xdr:cNvPr id="6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755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1008</xdr:row>
      <xdr:rowOff>257175</xdr:rowOff>
    </xdr:from>
    <xdr:to>
      <xdr:col>10</xdr:col>
      <xdr:colOff>514350</xdr:colOff>
      <xdr:row>1008</xdr:row>
      <xdr:rowOff>476250</xdr:rowOff>
    </xdr:to>
    <xdr:pic>
      <xdr:nvPicPr>
        <xdr:cNvPr id="6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755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1008</xdr:row>
      <xdr:rowOff>279400</xdr:rowOff>
    </xdr:from>
    <xdr:to>
      <xdr:col>3</xdr:col>
      <xdr:colOff>196850</xdr:colOff>
      <xdr:row>1008</xdr:row>
      <xdr:rowOff>498475</xdr:rowOff>
    </xdr:to>
    <xdr:pic>
      <xdr:nvPicPr>
        <xdr:cNvPr id="6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75547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1008</xdr:row>
      <xdr:rowOff>257175</xdr:rowOff>
    </xdr:from>
    <xdr:to>
      <xdr:col>3</xdr:col>
      <xdr:colOff>514350</xdr:colOff>
      <xdr:row>1008</xdr:row>
      <xdr:rowOff>476250</xdr:rowOff>
    </xdr:to>
    <xdr:pic>
      <xdr:nvPicPr>
        <xdr:cNvPr id="6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75525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1036</xdr:row>
      <xdr:rowOff>279400</xdr:rowOff>
    </xdr:from>
    <xdr:to>
      <xdr:col>10</xdr:col>
      <xdr:colOff>196850</xdr:colOff>
      <xdr:row>1036</xdr:row>
      <xdr:rowOff>498475</xdr:rowOff>
    </xdr:to>
    <xdr:pic>
      <xdr:nvPicPr>
        <xdr:cNvPr id="6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797055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1036</xdr:row>
      <xdr:rowOff>257175</xdr:rowOff>
    </xdr:from>
    <xdr:to>
      <xdr:col>10</xdr:col>
      <xdr:colOff>514350</xdr:colOff>
      <xdr:row>1036</xdr:row>
      <xdr:rowOff>476250</xdr:rowOff>
    </xdr:to>
    <xdr:pic>
      <xdr:nvPicPr>
        <xdr:cNvPr id="6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79703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1036</xdr:row>
      <xdr:rowOff>279400</xdr:rowOff>
    </xdr:from>
    <xdr:to>
      <xdr:col>3</xdr:col>
      <xdr:colOff>196850</xdr:colOff>
      <xdr:row>1036</xdr:row>
      <xdr:rowOff>498475</xdr:rowOff>
    </xdr:to>
    <xdr:pic>
      <xdr:nvPicPr>
        <xdr:cNvPr id="6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97055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1036</xdr:row>
      <xdr:rowOff>257175</xdr:rowOff>
    </xdr:from>
    <xdr:to>
      <xdr:col>3</xdr:col>
      <xdr:colOff>514350</xdr:colOff>
      <xdr:row>1036</xdr:row>
      <xdr:rowOff>476250</xdr:rowOff>
    </xdr:to>
    <xdr:pic>
      <xdr:nvPicPr>
        <xdr:cNvPr id="6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97032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1046</xdr:row>
      <xdr:rowOff>279400</xdr:rowOff>
    </xdr:from>
    <xdr:to>
      <xdr:col>10</xdr:col>
      <xdr:colOff>196850</xdr:colOff>
      <xdr:row>1046</xdr:row>
      <xdr:rowOff>498475</xdr:rowOff>
    </xdr:to>
    <xdr:pic>
      <xdr:nvPicPr>
        <xdr:cNvPr id="6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0526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1046</xdr:row>
      <xdr:rowOff>257175</xdr:rowOff>
    </xdr:from>
    <xdr:to>
      <xdr:col>10</xdr:col>
      <xdr:colOff>514350</xdr:colOff>
      <xdr:row>1046</xdr:row>
      <xdr:rowOff>476250</xdr:rowOff>
    </xdr:to>
    <xdr:pic>
      <xdr:nvPicPr>
        <xdr:cNvPr id="6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0524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1046</xdr:row>
      <xdr:rowOff>279400</xdr:rowOff>
    </xdr:from>
    <xdr:to>
      <xdr:col>3</xdr:col>
      <xdr:colOff>196850</xdr:colOff>
      <xdr:row>1046</xdr:row>
      <xdr:rowOff>498475</xdr:rowOff>
    </xdr:to>
    <xdr:pic>
      <xdr:nvPicPr>
        <xdr:cNvPr id="6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05265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1046</xdr:row>
      <xdr:rowOff>257175</xdr:rowOff>
    </xdr:from>
    <xdr:to>
      <xdr:col>3</xdr:col>
      <xdr:colOff>514350</xdr:colOff>
      <xdr:row>1046</xdr:row>
      <xdr:rowOff>476250</xdr:rowOff>
    </xdr:to>
    <xdr:pic>
      <xdr:nvPicPr>
        <xdr:cNvPr id="6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05243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1053</xdr:row>
      <xdr:rowOff>279400</xdr:rowOff>
    </xdr:from>
    <xdr:to>
      <xdr:col>10</xdr:col>
      <xdr:colOff>196850</xdr:colOff>
      <xdr:row>1053</xdr:row>
      <xdr:rowOff>498475</xdr:rowOff>
    </xdr:to>
    <xdr:pic>
      <xdr:nvPicPr>
        <xdr:cNvPr id="6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1088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1053</xdr:row>
      <xdr:rowOff>257175</xdr:rowOff>
    </xdr:from>
    <xdr:to>
      <xdr:col>10</xdr:col>
      <xdr:colOff>514350</xdr:colOff>
      <xdr:row>1053</xdr:row>
      <xdr:rowOff>476250</xdr:rowOff>
    </xdr:to>
    <xdr:pic>
      <xdr:nvPicPr>
        <xdr:cNvPr id="6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1086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1053</xdr:row>
      <xdr:rowOff>279400</xdr:rowOff>
    </xdr:from>
    <xdr:to>
      <xdr:col>3</xdr:col>
      <xdr:colOff>196850</xdr:colOff>
      <xdr:row>1053</xdr:row>
      <xdr:rowOff>498475</xdr:rowOff>
    </xdr:to>
    <xdr:pic>
      <xdr:nvPicPr>
        <xdr:cNvPr id="6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10885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1053</xdr:row>
      <xdr:rowOff>257175</xdr:rowOff>
    </xdr:from>
    <xdr:to>
      <xdr:col>3</xdr:col>
      <xdr:colOff>514350</xdr:colOff>
      <xdr:row>1053</xdr:row>
      <xdr:rowOff>476250</xdr:rowOff>
    </xdr:to>
    <xdr:pic>
      <xdr:nvPicPr>
        <xdr:cNvPr id="6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108632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1060</xdr:row>
      <xdr:rowOff>279400</xdr:rowOff>
    </xdr:from>
    <xdr:to>
      <xdr:col>10</xdr:col>
      <xdr:colOff>196850</xdr:colOff>
      <xdr:row>1060</xdr:row>
      <xdr:rowOff>498475</xdr:rowOff>
    </xdr:to>
    <xdr:pic>
      <xdr:nvPicPr>
        <xdr:cNvPr id="6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1681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1060</xdr:row>
      <xdr:rowOff>257175</xdr:rowOff>
    </xdr:from>
    <xdr:to>
      <xdr:col>10</xdr:col>
      <xdr:colOff>514350</xdr:colOff>
      <xdr:row>1060</xdr:row>
      <xdr:rowOff>476250</xdr:rowOff>
    </xdr:to>
    <xdr:pic>
      <xdr:nvPicPr>
        <xdr:cNvPr id="6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1678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1060</xdr:row>
      <xdr:rowOff>279400</xdr:rowOff>
    </xdr:from>
    <xdr:to>
      <xdr:col>3</xdr:col>
      <xdr:colOff>196850</xdr:colOff>
      <xdr:row>1060</xdr:row>
      <xdr:rowOff>498475</xdr:rowOff>
    </xdr:to>
    <xdr:pic>
      <xdr:nvPicPr>
        <xdr:cNvPr id="6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1681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1060</xdr:row>
      <xdr:rowOff>257175</xdr:rowOff>
    </xdr:from>
    <xdr:to>
      <xdr:col>3</xdr:col>
      <xdr:colOff>514350</xdr:colOff>
      <xdr:row>1060</xdr:row>
      <xdr:rowOff>476250</xdr:rowOff>
    </xdr:to>
    <xdr:pic>
      <xdr:nvPicPr>
        <xdr:cNvPr id="6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1678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1064</xdr:row>
      <xdr:rowOff>279400</xdr:rowOff>
    </xdr:from>
    <xdr:to>
      <xdr:col>10</xdr:col>
      <xdr:colOff>196850</xdr:colOff>
      <xdr:row>1064</xdr:row>
      <xdr:rowOff>498475</xdr:rowOff>
    </xdr:to>
    <xdr:pic>
      <xdr:nvPicPr>
        <xdr:cNvPr id="62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1921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1064</xdr:row>
      <xdr:rowOff>257175</xdr:rowOff>
    </xdr:from>
    <xdr:to>
      <xdr:col>10</xdr:col>
      <xdr:colOff>514350</xdr:colOff>
      <xdr:row>1064</xdr:row>
      <xdr:rowOff>476250</xdr:rowOff>
    </xdr:to>
    <xdr:pic>
      <xdr:nvPicPr>
        <xdr:cNvPr id="62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19188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1064</xdr:row>
      <xdr:rowOff>279400</xdr:rowOff>
    </xdr:from>
    <xdr:to>
      <xdr:col>3</xdr:col>
      <xdr:colOff>196850</xdr:colOff>
      <xdr:row>1064</xdr:row>
      <xdr:rowOff>498475</xdr:rowOff>
    </xdr:to>
    <xdr:pic>
      <xdr:nvPicPr>
        <xdr:cNvPr id="62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19210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1064</xdr:row>
      <xdr:rowOff>257175</xdr:rowOff>
    </xdr:from>
    <xdr:to>
      <xdr:col>3</xdr:col>
      <xdr:colOff>514350</xdr:colOff>
      <xdr:row>1064</xdr:row>
      <xdr:rowOff>476250</xdr:rowOff>
    </xdr:to>
    <xdr:pic>
      <xdr:nvPicPr>
        <xdr:cNvPr id="62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19188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1067</xdr:row>
      <xdr:rowOff>279400</xdr:rowOff>
    </xdr:from>
    <xdr:to>
      <xdr:col>10</xdr:col>
      <xdr:colOff>196850</xdr:colOff>
      <xdr:row>1067</xdr:row>
      <xdr:rowOff>498475</xdr:rowOff>
    </xdr:to>
    <xdr:pic>
      <xdr:nvPicPr>
        <xdr:cNvPr id="62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21182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1067</xdr:row>
      <xdr:rowOff>257175</xdr:rowOff>
    </xdr:from>
    <xdr:to>
      <xdr:col>10</xdr:col>
      <xdr:colOff>514350</xdr:colOff>
      <xdr:row>1067</xdr:row>
      <xdr:rowOff>476250</xdr:rowOff>
    </xdr:to>
    <xdr:pic>
      <xdr:nvPicPr>
        <xdr:cNvPr id="62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21159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1067</xdr:row>
      <xdr:rowOff>279400</xdr:rowOff>
    </xdr:from>
    <xdr:to>
      <xdr:col>3</xdr:col>
      <xdr:colOff>196850</xdr:colOff>
      <xdr:row>1067</xdr:row>
      <xdr:rowOff>498475</xdr:rowOff>
    </xdr:to>
    <xdr:pic>
      <xdr:nvPicPr>
        <xdr:cNvPr id="62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1182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1067</xdr:row>
      <xdr:rowOff>257175</xdr:rowOff>
    </xdr:from>
    <xdr:to>
      <xdr:col>3</xdr:col>
      <xdr:colOff>514350</xdr:colOff>
      <xdr:row>1067</xdr:row>
      <xdr:rowOff>476250</xdr:rowOff>
    </xdr:to>
    <xdr:pic>
      <xdr:nvPicPr>
        <xdr:cNvPr id="62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1159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1080</xdr:row>
      <xdr:rowOff>279400</xdr:rowOff>
    </xdr:from>
    <xdr:to>
      <xdr:col>10</xdr:col>
      <xdr:colOff>196850</xdr:colOff>
      <xdr:row>1080</xdr:row>
      <xdr:rowOff>498475</xdr:rowOff>
    </xdr:to>
    <xdr:pic>
      <xdr:nvPicPr>
        <xdr:cNvPr id="62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3110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1080</xdr:row>
      <xdr:rowOff>257175</xdr:rowOff>
    </xdr:from>
    <xdr:to>
      <xdr:col>10</xdr:col>
      <xdr:colOff>514350</xdr:colOff>
      <xdr:row>1080</xdr:row>
      <xdr:rowOff>476250</xdr:rowOff>
    </xdr:to>
    <xdr:pic>
      <xdr:nvPicPr>
        <xdr:cNvPr id="62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3108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1080</xdr:row>
      <xdr:rowOff>279400</xdr:rowOff>
    </xdr:from>
    <xdr:to>
      <xdr:col>3</xdr:col>
      <xdr:colOff>196850</xdr:colOff>
      <xdr:row>1080</xdr:row>
      <xdr:rowOff>498475</xdr:rowOff>
    </xdr:to>
    <xdr:pic>
      <xdr:nvPicPr>
        <xdr:cNvPr id="62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1107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1080</xdr:row>
      <xdr:rowOff>257175</xdr:rowOff>
    </xdr:from>
    <xdr:to>
      <xdr:col>3</xdr:col>
      <xdr:colOff>514350</xdr:colOff>
      <xdr:row>1080</xdr:row>
      <xdr:rowOff>476250</xdr:rowOff>
    </xdr:to>
    <xdr:pic>
      <xdr:nvPicPr>
        <xdr:cNvPr id="62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1084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1087</xdr:row>
      <xdr:rowOff>279400</xdr:rowOff>
    </xdr:from>
    <xdr:to>
      <xdr:col>10</xdr:col>
      <xdr:colOff>196850</xdr:colOff>
      <xdr:row>1087</xdr:row>
      <xdr:rowOff>498475</xdr:rowOff>
    </xdr:to>
    <xdr:pic>
      <xdr:nvPicPr>
        <xdr:cNvPr id="62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367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1087</xdr:row>
      <xdr:rowOff>257175</xdr:rowOff>
    </xdr:from>
    <xdr:to>
      <xdr:col>10</xdr:col>
      <xdr:colOff>514350</xdr:colOff>
      <xdr:row>1087</xdr:row>
      <xdr:rowOff>476250</xdr:rowOff>
    </xdr:to>
    <xdr:pic>
      <xdr:nvPicPr>
        <xdr:cNvPr id="62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3672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1087</xdr:row>
      <xdr:rowOff>279400</xdr:rowOff>
    </xdr:from>
    <xdr:to>
      <xdr:col>3</xdr:col>
      <xdr:colOff>196850</xdr:colOff>
      <xdr:row>1087</xdr:row>
      <xdr:rowOff>498475</xdr:rowOff>
    </xdr:to>
    <xdr:pic>
      <xdr:nvPicPr>
        <xdr:cNvPr id="62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367458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1087</xdr:row>
      <xdr:rowOff>257175</xdr:rowOff>
    </xdr:from>
    <xdr:to>
      <xdr:col>3</xdr:col>
      <xdr:colOff>514350</xdr:colOff>
      <xdr:row>1087</xdr:row>
      <xdr:rowOff>476250</xdr:rowOff>
    </xdr:to>
    <xdr:pic>
      <xdr:nvPicPr>
        <xdr:cNvPr id="62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367236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1094</xdr:row>
      <xdr:rowOff>279400</xdr:rowOff>
    </xdr:from>
    <xdr:to>
      <xdr:col>10</xdr:col>
      <xdr:colOff>196850</xdr:colOff>
      <xdr:row>1094</xdr:row>
      <xdr:rowOff>498475</xdr:rowOff>
    </xdr:to>
    <xdr:pic>
      <xdr:nvPicPr>
        <xdr:cNvPr id="62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42365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1094</xdr:row>
      <xdr:rowOff>257175</xdr:rowOff>
    </xdr:from>
    <xdr:to>
      <xdr:col>10</xdr:col>
      <xdr:colOff>514350</xdr:colOff>
      <xdr:row>1094</xdr:row>
      <xdr:rowOff>476250</xdr:rowOff>
    </xdr:to>
    <xdr:pic>
      <xdr:nvPicPr>
        <xdr:cNvPr id="62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42343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1094</xdr:row>
      <xdr:rowOff>279400</xdr:rowOff>
    </xdr:from>
    <xdr:to>
      <xdr:col>3</xdr:col>
      <xdr:colOff>196850</xdr:colOff>
      <xdr:row>1094</xdr:row>
      <xdr:rowOff>498475</xdr:rowOff>
    </xdr:to>
    <xdr:pic>
      <xdr:nvPicPr>
        <xdr:cNvPr id="62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2365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1094</xdr:row>
      <xdr:rowOff>257175</xdr:rowOff>
    </xdr:from>
    <xdr:to>
      <xdr:col>3</xdr:col>
      <xdr:colOff>514350</xdr:colOff>
      <xdr:row>1094</xdr:row>
      <xdr:rowOff>476250</xdr:rowOff>
    </xdr:to>
    <xdr:pic>
      <xdr:nvPicPr>
        <xdr:cNvPr id="62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42343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1098</xdr:row>
      <xdr:rowOff>279400</xdr:rowOff>
    </xdr:from>
    <xdr:to>
      <xdr:col>10</xdr:col>
      <xdr:colOff>196850</xdr:colOff>
      <xdr:row>1098</xdr:row>
      <xdr:rowOff>498475</xdr:rowOff>
    </xdr:to>
    <xdr:pic>
      <xdr:nvPicPr>
        <xdr:cNvPr id="62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4484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1098</xdr:row>
      <xdr:rowOff>257175</xdr:rowOff>
    </xdr:from>
    <xdr:to>
      <xdr:col>10</xdr:col>
      <xdr:colOff>514350</xdr:colOff>
      <xdr:row>1098</xdr:row>
      <xdr:rowOff>476250</xdr:rowOff>
    </xdr:to>
    <xdr:pic>
      <xdr:nvPicPr>
        <xdr:cNvPr id="62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448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1098</xdr:row>
      <xdr:rowOff>279400</xdr:rowOff>
    </xdr:from>
    <xdr:to>
      <xdr:col>3</xdr:col>
      <xdr:colOff>196850</xdr:colOff>
      <xdr:row>1098</xdr:row>
      <xdr:rowOff>498475</xdr:rowOff>
    </xdr:to>
    <xdr:pic>
      <xdr:nvPicPr>
        <xdr:cNvPr id="62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44842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1098</xdr:row>
      <xdr:rowOff>257175</xdr:rowOff>
    </xdr:from>
    <xdr:to>
      <xdr:col>3</xdr:col>
      <xdr:colOff>514350</xdr:colOff>
      <xdr:row>1098</xdr:row>
      <xdr:rowOff>476250</xdr:rowOff>
    </xdr:to>
    <xdr:pic>
      <xdr:nvPicPr>
        <xdr:cNvPr id="62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44819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1108</xdr:row>
      <xdr:rowOff>279400</xdr:rowOff>
    </xdr:from>
    <xdr:to>
      <xdr:col>10</xdr:col>
      <xdr:colOff>196850</xdr:colOff>
      <xdr:row>1108</xdr:row>
      <xdr:rowOff>498475</xdr:rowOff>
    </xdr:to>
    <xdr:pic>
      <xdr:nvPicPr>
        <xdr:cNvPr id="63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5302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1108</xdr:row>
      <xdr:rowOff>257175</xdr:rowOff>
    </xdr:from>
    <xdr:to>
      <xdr:col>10</xdr:col>
      <xdr:colOff>514350</xdr:colOff>
      <xdr:row>1108</xdr:row>
      <xdr:rowOff>476250</xdr:rowOff>
    </xdr:to>
    <xdr:pic>
      <xdr:nvPicPr>
        <xdr:cNvPr id="63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5300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1108</xdr:row>
      <xdr:rowOff>279400</xdr:rowOff>
    </xdr:from>
    <xdr:to>
      <xdr:col>3</xdr:col>
      <xdr:colOff>196850</xdr:colOff>
      <xdr:row>1108</xdr:row>
      <xdr:rowOff>498475</xdr:rowOff>
    </xdr:to>
    <xdr:pic>
      <xdr:nvPicPr>
        <xdr:cNvPr id="63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3024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1108</xdr:row>
      <xdr:rowOff>257175</xdr:rowOff>
    </xdr:from>
    <xdr:to>
      <xdr:col>3</xdr:col>
      <xdr:colOff>514350</xdr:colOff>
      <xdr:row>1108</xdr:row>
      <xdr:rowOff>476250</xdr:rowOff>
    </xdr:to>
    <xdr:pic>
      <xdr:nvPicPr>
        <xdr:cNvPr id="63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3001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1115</xdr:row>
      <xdr:rowOff>279400</xdr:rowOff>
    </xdr:from>
    <xdr:to>
      <xdr:col>10</xdr:col>
      <xdr:colOff>196850</xdr:colOff>
      <xdr:row>1115</xdr:row>
      <xdr:rowOff>498475</xdr:rowOff>
    </xdr:to>
    <xdr:pic>
      <xdr:nvPicPr>
        <xdr:cNvPr id="63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587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1115</xdr:row>
      <xdr:rowOff>257175</xdr:rowOff>
    </xdr:from>
    <xdr:to>
      <xdr:col>10</xdr:col>
      <xdr:colOff>514350</xdr:colOff>
      <xdr:row>1115</xdr:row>
      <xdr:rowOff>476250</xdr:rowOff>
    </xdr:to>
    <xdr:pic>
      <xdr:nvPicPr>
        <xdr:cNvPr id="63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586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1115</xdr:row>
      <xdr:rowOff>279400</xdr:rowOff>
    </xdr:from>
    <xdr:to>
      <xdr:col>3</xdr:col>
      <xdr:colOff>196850</xdr:colOff>
      <xdr:row>1115</xdr:row>
      <xdr:rowOff>498475</xdr:rowOff>
    </xdr:to>
    <xdr:pic>
      <xdr:nvPicPr>
        <xdr:cNvPr id="63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58720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1115</xdr:row>
      <xdr:rowOff>257175</xdr:rowOff>
    </xdr:from>
    <xdr:to>
      <xdr:col>3</xdr:col>
      <xdr:colOff>514350</xdr:colOff>
      <xdr:row>1115</xdr:row>
      <xdr:rowOff>476250</xdr:rowOff>
    </xdr:to>
    <xdr:pic>
      <xdr:nvPicPr>
        <xdr:cNvPr id="63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58697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1122</xdr:row>
      <xdr:rowOff>279400</xdr:rowOff>
    </xdr:from>
    <xdr:to>
      <xdr:col>10</xdr:col>
      <xdr:colOff>196850</xdr:colOff>
      <xdr:row>1122</xdr:row>
      <xdr:rowOff>498475</xdr:rowOff>
    </xdr:to>
    <xdr:pic>
      <xdr:nvPicPr>
        <xdr:cNvPr id="63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6449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1122</xdr:row>
      <xdr:rowOff>257175</xdr:rowOff>
    </xdr:from>
    <xdr:to>
      <xdr:col>10</xdr:col>
      <xdr:colOff>514350</xdr:colOff>
      <xdr:row>1122</xdr:row>
      <xdr:rowOff>476250</xdr:rowOff>
    </xdr:to>
    <xdr:pic>
      <xdr:nvPicPr>
        <xdr:cNvPr id="63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6446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1122</xdr:row>
      <xdr:rowOff>279400</xdr:rowOff>
    </xdr:from>
    <xdr:to>
      <xdr:col>3</xdr:col>
      <xdr:colOff>196850</xdr:colOff>
      <xdr:row>1122</xdr:row>
      <xdr:rowOff>498475</xdr:rowOff>
    </xdr:to>
    <xdr:pic>
      <xdr:nvPicPr>
        <xdr:cNvPr id="63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4492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1122</xdr:row>
      <xdr:rowOff>257175</xdr:rowOff>
    </xdr:from>
    <xdr:to>
      <xdr:col>3</xdr:col>
      <xdr:colOff>514350</xdr:colOff>
      <xdr:row>1122</xdr:row>
      <xdr:rowOff>476250</xdr:rowOff>
    </xdr:to>
    <xdr:pic>
      <xdr:nvPicPr>
        <xdr:cNvPr id="63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4469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1126</xdr:row>
      <xdr:rowOff>279400</xdr:rowOff>
    </xdr:from>
    <xdr:to>
      <xdr:col>10</xdr:col>
      <xdr:colOff>196850</xdr:colOff>
      <xdr:row>1126</xdr:row>
      <xdr:rowOff>498475</xdr:rowOff>
    </xdr:to>
    <xdr:pic>
      <xdr:nvPicPr>
        <xdr:cNvPr id="63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67102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1126</xdr:row>
      <xdr:rowOff>257175</xdr:rowOff>
    </xdr:from>
    <xdr:to>
      <xdr:col>10</xdr:col>
      <xdr:colOff>514350</xdr:colOff>
      <xdr:row>1126</xdr:row>
      <xdr:rowOff>476250</xdr:rowOff>
    </xdr:to>
    <xdr:pic>
      <xdr:nvPicPr>
        <xdr:cNvPr id="63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67079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1126</xdr:row>
      <xdr:rowOff>279400</xdr:rowOff>
    </xdr:from>
    <xdr:to>
      <xdr:col>3</xdr:col>
      <xdr:colOff>196850</xdr:colOff>
      <xdr:row>1126</xdr:row>
      <xdr:rowOff>498475</xdr:rowOff>
    </xdr:to>
    <xdr:pic>
      <xdr:nvPicPr>
        <xdr:cNvPr id="63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67102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1126</xdr:row>
      <xdr:rowOff>257175</xdr:rowOff>
    </xdr:from>
    <xdr:to>
      <xdr:col>3</xdr:col>
      <xdr:colOff>514350</xdr:colOff>
      <xdr:row>1126</xdr:row>
      <xdr:rowOff>476250</xdr:rowOff>
    </xdr:to>
    <xdr:pic>
      <xdr:nvPicPr>
        <xdr:cNvPr id="63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67079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1136</xdr:row>
      <xdr:rowOff>279400</xdr:rowOff>
    </xdr:from>
    <xdr:to>
      <xdr:col>10</xdr:col>
      <xdr:colOff>196850</xdr:colOff>
      <xdr:row>1136</xdr:row>
      <xdr:rowOff>498475</xdr:rowOff>
    </xdr:to>
    <xdr:pic>
      <xdr:nvPicPr>
        <xdr:cNvPr id="63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74817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1136</xdr:row>
      <xdr:rowOff>257175</xdr:rowOff>
    </xdr:from>
    <xdr:to>
      <xdr:col>10</xdr:col>
      <xdr:colOff>514350</xdr:colOff>
      <xdr:row>1136</xdr:row>
      <xdr:rowOff>476250</xdr:rowOff>
    </xdr:to>
    <xdr:pic>
      <xdr:nvPicPr>
        <xdr:cNvPr id="63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74795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1136</xdr:row>
      <xdr:rowOff>279400</xdr:rowOff>
    </xdr:from>
    <xdr:to>
      <xdr:col>3</xdr:col>
      <xdr:colOff>196850</xdr:colOff>
      <xdr:row>1136</xdr:row>
      <xdr:rowOff>498475</xdr:rowOff>
    </xdr:to>
    <xdr:pic>
      <xdr:nvPicPr>
        <xdr:cNvPr id="63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74817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1136</xdr:row>
      <xdr:rowOff>257175</xdr:rowOff>
    </xdr:from>
    <xdr:to>
      <xdr:col>3</xdr:col>
      <xdr:colOff>514350</xdr:colOff>
      <xdr:row>1136</xdr:row>
      <xdr:rowOff>476250</xdr:rowOff>
    </xdr:to>
    <xdr:pic>
      <xdr:nvPicPr>
        <xdr:cNvPr id="63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74795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1143</xdr:row>
      <xdr:rowOff>279400</xdr:rowOff>
    </xdr:from>
    <xdr:to>
      <xdr:col>10</xdr:col>
      <xdr:colOff>196850</xdr:colOff>
      <xdr:row>1143</xdr:row>
      <xdr:rowOff>498475</xdr:rowOff>
    </xdr:to>
    <xdr:pic>
      <xdr:nvPicPr>
        <xdr:cNvPr id="63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024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1143</xdr:row>
      <xdr:rowOff>257175</xdr:rowOff>
    </xdr:from>
    <xdr:to>
      <xdr:col>10</xdr:col>
      <xdr:colOff>514350</xdr:colOff>
      <xdr:row>1143</xdr:row>
      <xdr:rowOff>476250</xdr:rowOff>
    </xdr:to>
    <xdr:pic>
      <xdr:nvPicPr>
        <xdr:cNvPr id="63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8022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1143</xdr:row>
      <xdr:rowOff>279400</xdr:rowOff>
    </xdr:from>
    <xdr:to>
      <xdr:col>3</xdr:col>
      <xdr:colOff>196850</xdr:colOff>
      <xdr:row>1143</xdr:row>
      <xdr:rowOff>498475</xdr:rowOff>
    </xdr:to>
    <xdr:pic>
      <xdr:nvPicPr>
        <xdr:cNvPr id="63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0246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1143</xdr:row>
      <xdr:rowOff>257175</xdr:rowOff>
    </xdr:from>
    <xdr:to>
      <xdr:col>3</xdr:col>
      <xdr:colOff>514350</xdr:colOff>
      <xdr:row>1143</xdr:row>
      <xdr:rowOff>476250</xdr:rowOff>
    </xdr:to>
    <xdr:pic>
      <xdr:nvPicPr>
        <xdr:cNvPr id="6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0224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1150</xdr:row>
      <xdr:rowOff>279400</xdr:rowOff>
    </xdr:from>
    <xdr:to>
      <xdr:col>10</xdr:col>
      <xdr:colOff>196850</xdr:colOff>
      <xdr:row>1150</xdr:row>
      <xdr:rowOff>498475</xdr:rowOff>
    </xdr:to>
    <xdr:pic>
      <xdr:nvPicPr>
        <xdr:cNvPr id="6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574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1150</xdr:row>
      <xdr:rowOff>257175</xdr:rowOff>
    </xdr:from>
    <xdr:to>
      <xdr:col>10</xdr:col>
      <xdr:colOff>514350</xdr:colOff>
      <xdr:row>1150</xdr:row>
      <xdr:rowOff>476250</xdr:rowOff>
    </xdr:to>
    <xdr:pic>
      <xdr:nvPicPr>
        <xdr:cNvPr id="6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8572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1150</xdr:row>
      <xdr:rowOff>279400</xdr:rowOff>
    </xdr:from>
    <xdr:to>
      <xdr:col>3</xdr:col>
      <xdr:colOff>196850</xdr:colOff>
      <xdr:row>1150</xdr:row>
      <xdr:rowOff>498475</xdr:rowOff>
    </xdr:to>
    <xdr:pic>
      <xdr:nvPicPr>
        <xdr:cNvPr id="6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57424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1150</xdr:row>
      <xdr:rowOff>257175</xdr:rowOff>
    </xdr:from>
    <xdr:to>
      <xdr:col>3</xdr:col>
      <xdr:colOff>514350</xdr:colOff>
      <xdr:row>1150</xdr:row>
      <xdr:rowOff>476250</xdr:rowOff>
    </xdr:to>
    <xdr:pic>
      <xdr:nvPicPr>
        <xdr:cNvPr id="6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57202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1154</xdr:row>
      <xdr:rowOff>279400</xdr:rowOff>
    </xdr:from>
    <xdr:to>
      <xdr:col>10</xdr:col>
      <xdr:colOff>196850</xdr:colOff>
      <xdr:row>1154</xdr:row>
      <xdr:rowOff>498475</xdr:rowOff>
    </xdr:to>
    <xdr:pic>
      <xdr:nvPicPr>
        <xdr:cNvPr id="6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8819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1154</xdr:row>
      <xdr:rowOff>257175</xdr:rowOff>
    </xdr:from>
    <xdr:to>
      <xdr:col>10</xdr:col>
      <xdr:colOff>514350</xdr:colOff>
      <xdr:row>1154</xdr:row>
      <xdr:rowOff>476250</xdr:rowOff>
    </xdr:to>
    <xdr:pic>
      <xdr:nvPicPr>
        <xdr:cNvPr id="6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8817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1154</xdr:row>
      <xdr:rowOff>279400</xdr:rowOff>
    </xdr:from>
    <xdr:to>
      <xdr:col>3</xdr:col>
      <xdr:colOff>196850</xdr:colOff>
      <xdr:row>1154</xdr:row>
      <xdr:rowOff>498475</xdr:rowOff>
    </xdr:to>
    <xdr:pic>
      <xdr:nvPicPr>
        <xdr:cNvPr id="6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88199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1154</xdr:row>
      <xdr:rowOff>257175</xdr:rowOff>
    </xdr:from>
    <xdr:to>
      <xdr:col>3</xdr:col>
      <xdr:colOff>514350</xdr:colOff>
      <xdr:row>1154</xdr:row>
      <xdr:rowOff>476250</xdr:rowOff>
    </xdr:to>
    <xdr:pic>
      <xdr:nvPicPr>
        <xdr:cNvPr id="6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88177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1164</xdr:row>
      <xdr:rowOff>279400</xdr:rowOff>
    </xdr:from>
    <xdr:to>
      <xdr:col>10</xdr:col>
      <xdr:colOff>196850</xdr:colOff>
      <xdr:row>1164</xdr:row>
      <xdr:rowOff>498475</xdr:rowOff>
    </xdr:to>
    <xdr:pic>
      <xdr:nvPicPr>
        <xdr:cNvPr id="6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8966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1164</xdr:row>
      <xdr:rowOff>257175</xdr:rowOff>
    </xdr:from>
    <xdr:to>
      <xdr:col>10</xdr:col>
      <xdr:colOff>514350</xdr:colOff>
      <xdr:row>1164</xdr:row>
      <xdr:rowOff>476250</xdr:rowOff>
    </xdr:to>
    <xdr:pic>
      <xdr:nvPicPr>
        <xdr:cNvPr id="6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8966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1164</xdr:row>
      <xdr:rowOff>279400</xdr:rowOff>
    </xdr:from>
    <xdr:to>
      <xdr:col>3</xdr:col>
      <xdr:colOff>196850</xdr:colOff>
      <xdr:row>1164</xdr:row>
      <xdr:rowOff>498475</xdr:rowOff>
    </xdr:to>
    <xdr:pic>
      <xdr:nvPicPr>
        <xdr:cNvPr id="6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96667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1164</xdr:row>
      <xdr:rowOff>257175</xdr:rowOff>
    </xdr:from>
    <xdr:to>
      <xdr:col>3</xdr:col>
      <xdr:colOff>514350</xdr:colOff>
      <xdr:row>1164</xdr:row>
      <xdr:rowOff>476250</xdr:rowOff>
    </xdr:to>
    <xdr:pic>
      <xdr:nvPicPr>
        <xdr:cNvPr id="6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96645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1171</xdr:row>
      <xdr:rowOff>279400</xdr:rowOff>
    </xdr:from>
    <xdr:to>
      <xdr:col>10</xdr:col>
      <xdr:colOff>196850</xdr:colOff>
      <xdr:row>1171</xdr:row>
      <xdr:rowOff>498475</xdr:rowOff>
    </xdr:to>
    <xdr:pic>
      <xdr:nvPicPr>
        <xdr:cNvPr id="6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02668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1171</xdr:row>
      <xdr:rowOff>257175</xdr:rowOff>
    </xdr:from>
    <xdr:to>
      <xdr:col>10</xdr:col>
      <xdr:colOff>514350</xdr:colOff>
      <xdr:row>1171</xdr:row>
      <xdr:rowOff>476250</xdr:rowOff>
    </xdr:to>
    <xdr:pic>
      <xdr:nvPicPr>
        <xdr:cNvPr id="6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0264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1171</xdr:row>
      <xdr:rowOff>279400</xdr:rowOff>
    </xdr:from>
    <xdr:to>
      <xdr:col>3</xdr:col>
      <xdr:colOff>196850</xdr:colOff>
      <xdr:row>1171</xdr:row>
      <xdr:rowOff>498475</xdr:rowOff>
    </xdr:to>
    <xdr:pic>
      <xdr:nvPicPr>
        <xdr:cNvPr id="6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026683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1171</xdr:row>
      <xdr:rowOff>257175</xdr:rowOff>
    </xdr:from>
    <xdr:to>
      <xdr:col>3</xdr:col>
      <xdr:colOff>514350</xdr:colOff>
      <xdr:row>1171</xdr:row>
      <xdr:rowOff>476250</xdr:rowOff>
    </xdr:to>
    <xdr:pic>
      <xdr:nvPicPr>
        <xdr:cNvPr id="6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026461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1178</xdr:row>
      <xdr:rowOff>279400</xdr:rowOff>
    </xdr:from>
    <xdr:to>
      <xdr:col>10</xdr:col>
      <xdr:colOff>196850</xdr:colOff>
      <xdr:row>1178</xdr:row>
      <xdr:rowOff>498475</xdr:rowOff>
    </xdr:to>
    <xdr:pic>
      <xdr:nvPicPr>
        <xdr:cNvPr id="6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082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1178</xdr:row>
      <xdr:rowOff>257175</xdr:rowOff>
    </xdr:from>
    <xdr:to>
      <xdr:col>10</xdr:col>
      <xdr:colOff>514350</xdr:colOff>
      <xdr:row>1178</xdr:row>
      <xdr:rowOff>476250</xdr:rowOff>
    </xdr:to>
    <xdr:pic>
      <xdr:nvPicPr>
        <xdr:cNvPr id="6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08275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1178</xdr:row>
      <xdr:rowOff>279400</xdr:rowOff>
    </xdr:from>
    <xdr:to>
      <xdr:col>3</xdr:col>
      <xdr:colOff>196850</xdr:colOff>
      <xdr:row>1178</xdr:row>
      <xdr:rowOff>498475</xdr:rowOff>
    </xdr:to>
    <xdr:pic>
      <xdr:nvPicPr>
        <xdr:cNvPr id="6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08297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1178</xdr:row>
      <xdr:rowOff>257175</xdr:rowOff>
    </xdr:from>
    <xdr:to>
      <xdr:col>3</xdr:col>
      <xdr:colOff>514350</xdr:colOff>
      <xdr:row>1178</xdr:row>
      <xdr:rowOff>476250</xdr:rowOff>
    </xdr:to>
    <xdr:pic>
      <xdr:nvPicPr>
        <xdr:cNvPr id="6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08275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1182</xdr:row>
      <xdr:rowOff>279400</xdr:rowOff>
    </xdr:from>
    <xdr:to>
      <xdr:col>10</xdr:col>
      <xdr:colOff>196850</xdr:colOff>
      <xdr:row>1182</xdr:row>
      <xdr:rowOff>498475</xdr:rowOff>
    </xdr:to>
    <xdr:pic>
      <xdr:nvPicPr>
        <xdr:cNvPr id="6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079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1182</xdr:row>
      <xdr:rowOff>257175</xdr:rowOff>
    </xdr:from>
    <xdr:to>
      <xdr:col>10</xdr:col>
      <xdr:colOff>514350</xdr:colOff>
      <xdr:row>1182</xdr:row>
      <xdr:rowOff>476250</xdr:rowOff>
    </xdr:to>
    <xdr:pic>
      <xdr:nvPicPr>
        <xdr:cNvPr id="6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1077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1182</xdr:row>
      <xdr:rowOff>279400</xdr:rowOff>
    </xdr:from>
    <xdr:to>
      <xdr:col>3</xdr:col>
      <xdr:colOff>196850</xdr:colOff>
      <xdr:row>1182</xdr:row>
      <xdr:rowOff>498475</xdr:rowOff>
    </xdr:to>
    <xdr:pic>
      <xdr:nvPicPr>
        <xdr:cNvPr id="6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0793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1182</xdr:row>
      <xdr:rowOff>257175</xdr:rowOff>
    </xdr:from>
    <xdr:to>
      <xdr:col>3</xdr:col>
      <xdr:colOff>514350</xdr:colOff>
      <xdr:row>1182</xdr:row>
      <xdr:rowOff>476250</xdr:rowOff>
    </xdr:to>
    <xdr:pic>
      <xdr:nvPicPr>
        <xdr:cNvPr id="6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0770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1192</xdr:row>
      <xdr:rowOff>279400</xdr:rowOff>
    </xdr:from>
    <xdr:to>
      <xdr:col>10</xdr:col>
      <xdr:colOff>196850</xdr:colOff>
      <xdr:row>1192</xdr:row>
      <xdr:rowOff>498475</xdr:rowOff>
    </xdr:to>
    <xdr:pic>
      <xdr:nvPicPr>
        <xdr:cNvPr id="6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1918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1192</xdr:row>
      <xdr:rowOff>257175</xdr:rowOff>
    </xdr:from>
    <xdr:to>
      <xdr:col>10</xdr:col>
      <xdr:colOff>514350</xdr:colOff>
      <xdr:row>1192</xdr:row>
      <xdr:rowOff>476250</xdr:rowOff>
    </xdr:to>
    <xdr:pic>
      <xdr:nvPicPr>
        <xdr:cNvPr id="6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1916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1192</xdr:row>
      <xdr:rowOff>279400</xdr:rowOff>
    </xdr:from>
    <xdr:to>
      <xdr:col>3</xdr:col>
      <xdr:colOff>196850</xdr:colOff>
      <xdr:row>1192</xdr:row>
      <xdr:rowOff>498475</xdr:rowOff>
    </xdr:to>
    <xdr:pic>
      <xdr:nvPicPr>
        <xdr:cNvPr id="6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19184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1192</xdr:row>
      <xdr:rowOff>257175</xdr:rowOff>
    </xdr:from>
    <xdr:to>
      <xdr:col>3</xdr:col>
      <xdr:colOff>514350</xdr:colOff>
      <xdr:row>1192</xdr:row>
      <xdr:rowOff>476250</xdr:rowOff>
    </xdr:to>
    <xdr:pic>
      <xdr:nvPicPr>
        <xdr:cNvPr id="6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19162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1199</xdr:row>
      <xdr:rowOff>279400</xdr:rowOff>
    </xdr:from>
    <xdr:to>
      <xdr:col>10</xdr:col>
      <xdr:colOff>196850</xdr:colOff>
      <xdr:row>1199</xdr:row>
      <xdr:rowOff>498475</xdr:rowOff>
    </xdr:to>
    <xdr:pic>
      <xdr:nvPicPr>
        <xdr:cNvPr id="6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2520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1199</xdr:row>
      <xdr:rowOff>257175</xdr:rowOff>
    </xdr:from>
    <xdr:to>
      <xdr:col>10</xdr:col>
      <xdr:colOff>514350</xdr:colOff>
      <xdr:row>1199</xdr:row>
      <xdr:rowOff>476250</xdr:rowOff>
    </xdr:to>
    <xdr:pic>
      <xdr:nvPicPr>
        <xdr:cNvPr id="6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2518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1199</xdr:row>
      <xdr:rowOff>279400</xdr:rowOff>
    </xdr:from>
    <xdr:to>
      <xdr:col>3</xdr:col>
      <xdr:colOff>196850</xdr:colOff>
      <xdr:row>1199</xdr:row>
      <xdr:rowOff>498475</xdr:rowOff>
    </xdr:to>
    <xdr:pic>
      <xdr:nvPicPr>
        <xdr:cNvPr id="6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2520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1199</xdr:row>
      <xdr:rowOff>257175</xdr:rowOff>
    </xdr:from>
    <xdr:to>
      <xdr:col>3</xdr:col>
      <xdr:colOff>514350</xdr:colOff>
      <xdr:row>1199</xdr:row>
      <xdr:rowOff>476250</xdr:rowOff>
    </xdr:to>
    <xdr:pic>
      <xdr:nvPicPr>
        <xdr:cNvPr id="6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2518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1206</xdr:row>
      <xdr:rowOff>279400</xdr:rowOff>
    </xdr:from>
    <xdr:to>
      <xdr:col>10</xdr:col>
      <xdr:colOff>196850</xdr:colOff>
      <xdr:row>1206</xdr:row>
      <xdr:rowOff>498475</xdr:rowOff>
    </xdr:to>
    <xdr:pic>
      <xdr:nvPicPr>
        <xdr:cNvPr id="6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31062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1206</xdr:row>
      <xdr:rowOff>257175</xdr:rowOff>
    </xdr:from>
    <xdr:to>
      <xdr:col>10</xdr:col>
      <xdr:colOff>514350</xdr:colOff>
      <xdr:row>1206</xdr:row>
      <xdr:rowOff>476250</xdr:rowOff>
    </xdr:to>
    <xdr:pic>
      <xdr:nvPicPr>
        <xdr:cNvPr id="6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3104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1206</xdr:row>
      <xdr:rowOff>279400</xdr:rowOff>
    </xdr:from>
    <xdr:to>
      <xdr:col>3</xdr:col>
      <xdr:colOff>196850</xdr:colOff>
      <xdr:row>1206</xdr:row>
      <xdr:rowOff>498475</xdr:rowOff>
    </xdr:to>
    <xdr:pic>
      <xdr:nvPicPr>
        <xdr:cNvPr id="6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1062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1206</xdr:row>
      <xdr:rowOff>257175</xdr:rowOff>
    </xdr:from>
    <xdr:to>
      <xdr:col>3</xdr:col>
      <xdr:colOff>514350</xdr:colOff>
      <xdr:row>1206</xdr:row>
      <xdr:rowOff>476250</xdr:rowOff>
    </xdr:to>
    <xdr:pic>
      <xdr:nvPicPr>
        <xdr:cNvPr id="6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1040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1210</xdr:row>
      <xdr:rowOff>279400</xdr:rowOff>
    </xdr:from>
    <xdr:to>
      <xdr:col>10</xdr:col>
      <xdr:colOff>196850</xdr:colOff>
      <xdr:row>1210</xdr:row>
      <xdr:rowOff>498475</xdr:rowOff>
    </xdr:to>
    <xdr:pic>
      <xdr:nvPicPr>
        <xdr:cNvPr id="6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33986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1210</xdr:row>
      <xdr:rowOff>257175</xdr:rowOff>
    </xdr:from>
    <xdr:to>
      <xdr:col>10</xdr:col>
      <xdr:colOff>514350</xdr:colOff>
      <xdr:row>1210</xdr:row>
      <xdr:rowOff>476250</xdr:rowOff>
    </xdr:to>
    <xdr:pic>
      <xdr:nvPicPr>
        <xdr:cNvPr id="6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3396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1210</xdr:row>
      <xdr:rowOff>279400</xdr:rowOff>
    </xdr:from>
    <xdr:to>
      <xdr:col>3</xdr:col>
      <xdr:colOff>196850</xdr:colOff>
      <xdr:row>1210</xdr:row>
      <xdr:rowOff>498475</xdr:rowOff>
    </xdr:to>
    <xdr:pic>
      <xdr:nvPicPr>
        <xdr:cNvPr id="6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339865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1210</xdr:row>
      <xdr:rowOff>257175</xdr:rowOff>
    </xdr:from>
    <xdr:to>
      <xdr:col>3</xdr:col>
      <xdr:colOff>514350</xdr:colOff>
      <xdr:row>1210</xdr:row>
      <xdr:rowOff>476250</xdr:rowOff>
    </xdr:to>
    <xdr:pic>
      <xdr:nvPicPr>
        <xdr:cNvPr id="6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33964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1220</xdr:row>
      <xdr:rowOff>279400</xdr:rowOff>
    </xdr:from>
    <xdr:to>
      <xdr:col>10</xdr:col>
      <xdr:colOff>196850</xdr:colOff>
      <xdr:row>1220</xdr:row>
      <xdr:rowOff>498475</xdr:rowOff>
    </xdr:to>
    <xdr:pic>
      <xdr:nvPicPr>
        <xdr:cNvPr id="6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4180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1220</xdr:row>
      <xdr:rowOff>257175</xdr:rowOff>
    </xdr:from>
    <xdr:to>
      <xdr:col>10</xdr:col>
      <xdr:colOff>514350</xdr:colOff>
      <xdr:row>1220</xdr:row>
      <xdr:rowOff>476250</xdr:rowOff>
    </xdr:to>
    <xdr:pic>
      <xdr:nvPicPr>
        <xdr:cNvPr id="6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4178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1220</xdr:row>
      <xdr:rowOff>279400</xdr:rowOff>
    </xdr:from>
    <xdr:to>
      <xdr:col>3</xdr:col>
      <xdr:colOff>196850</xdr:colOff>
      <xdr:row>1220</xdr:row>
      <xdr:rowOff>498475</xdr:rowOff>
    </xdr:to>
    <xdr:pic>
      <xdr:nvPicPr>
        <xdr:cNvPr id="6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418066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1220</xdr:row>
      <xdr:rowOff>257175</xdr:rowOff>
    </xdr:from>
    <xdr:to>
      <xdr:col>3</xdr:col>
      <xdr:colOff>514350</xdr:colOff>
      <xdr:row>1220</xdr:row>
      <xdr:rowOff>476250</xdr:rowOff>
    </xdr:to>
    <xdr:pic>
      <xdr:nvPicPr>
        <xdr:cNvPr id="6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1784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1227</xdr:row>
      <xdr:rowOff>279400</xdr:rowOff>
    </xdr:from>
    <xdr:to>
      <xdr:col>10</xdr:col>
      <xdr:colOff>196850</xdr:colOff>
      <xdr:row>1227</xdr:row>
      <xdr:rowOff>498475</xdr:rowOff>
    </xdr:to>
    <xdr:pic>
      <xdr:nvPicPr>
        <xdr:cNvPr id="6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475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1227</xdr:row>
      <xdr:rowOff>257175</xdr:rowOff>
    </xdr:from>
    <xdr:to>
      <xdr:col>10</xdr:col>
      <xdr:colOff>514350</xdr:colOff>
      <xdr:row>1227</xdr:row>
      <xdr:rowOff>476250</xdr:rowOff>
    </xdr:to>
    <xdr:pic>
      <xdr:nvPicPr>
        <xdr:cNvPr id="6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4754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1227</xdr:row>
      <xdr:rowOff>279400</xdr:rowOff>
    </xdr:from>
    <xdr:to>
      <xdr:col>3</xdr:col>
      <xdr:colOff>196850</xdr:colOff>
      <xdr:row>1227</xdr:row>
      <xdr:rowOff>498475</xdr:rowOff>
    </xdr:to>
    <xdr:pic>
      <xdr:nvPicPr>
        <xdr:cNvPr id="6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4756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1227</xdr:row>
      <xdr:rowOff>257175</xdr:rowOff>
    </xdr:from>
    <xdr:to>
      <xdr:col>3</xdr:col>
      <xdr:colOff>514350</xdr:colOff>
      <xdr:row>1227</xdr:row>
      <xdr:rowOff>476250</xdr:rowOff>
    </xdr:to>
    <xdr:pic>
      <xdr:nvPicPr>
        <xdr:cNvPr id="6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4754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1234</xdr:row>
      <xdr:rowOff>279400</xdr:rowOff>
    </xdr:from>
    <xdr:to>
      <xdr:col>10</xdr:col>
      <xdr:colOff>196850</xdr:colOff>
      <xdr:row>1234</xdr:row>
      <xdr:rowOff>498475</xdr:rowOff>
    </xdr:to>
    <xdr:pic>
      <xdr:nvPicPr>
        <xdr:cNvPr id="6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3255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1234</xdr:row>
      <xdr:rowOff>257175</xdr:rowOff>
    </xdr:from>
    <xdr:to>
      <xdr:col>10</xdr:col>
      <xdr:colOff>514350</xdr:colOff>
      <xdr:row>1234</xdr:row>
      <xdr:rowOff>476250</xdr:rowOff>
    </xdr:to>
    <xdr:pic>
      <xdr:nvPicPr>
        <xdr:cNvPr id="6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53233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1234</xdr:row>
      <xdr:rowOff>279400</xdr:rowOff>
    </xdr:from>
    <xdr:to>
      <xdr:col>3</xdr:col>
      <xdr:colOff>196850</xdr:colOff>
      <xdr:row>1234</xdr:row>
      <xdr:rowOff>498475</xdr:rowOff>
    </xdr:to>
    <xdr:pic>
      <xdr:nvPicPr>
        <xdr:cNvPr id="6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3255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1234</xdr:row>
      <xdr:rowOff>257175</xdr:rowOff>
    </xdr:from>
    <xdr:to>
      <xdr:col>3</xdr:col>
      <xdr:colOff>514350</xdr:colOff>
      <xdr:row>1234</xdr:row>
      <xdr:rowOff>476250</xdr:rowOff>
    </xdr:to>
    <xdr:pic>
      <xdr:nvPicPr>
        <xdr:cNvPr id="6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3233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1238</xdr:row>
      <xdr:rowOff>279400</xdr:rowOff>
    </xdr:from>
    <xdr:to>
      <xdr:col>10</xdr:col>
      <xdr:colOff>196850</xdr:colOff>
      <xdr:row>1238</xdr:row>
      <xdr:rowOff>498475</xdr:rowOff>
    </xdr:to>
    <xdr:pic>
      <xdr:nvPicPr>
        <xdr:cNvPr id="6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55560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1238</xdr:row>
      <xdr:rowOff>257175</xdr:rowOff>
    </xdr:from>
    <xdr:to>
      <xdr:col>10</xdr:col>
      <xdr:colOff>514350</xdr:colOff>
      <xdr:row>1238</xdr:row>
      <xdr:rowOff>476250</xdr:rowOff>
    </xdr:to>
    <xdr:pic>
      <xdr:nvPicPr>
        <xdr:cNvPr id="6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5553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1238</xdr:row>
      <xdr:rowOff>279400</xdr:rowOff>
    </xdr:from>
    <xdr:to>
      <xdr:col>3</xdr:col>
      <xdr:colOff>196850</xdr:colOff>
      <xdr:row>1238</xdr:row>
      <xdr:rowOff>498475</xdr:rowOff>
    </xdr:to>
    <xdr:pic>
      <xdr:nvPicPr>
        <xdr:cNvPr id="6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55560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1238</xdr:row>
      <xdr:rowOff>257175</xdr:rowOff>
    </xdr:from>
    <xdr:to>
      <xdr:col>3</xdr:col>
      <xdr:colOff>514350</xdr:colOff>
      <xdr:row>1238</xdr:row>
      <xdr:rowOff>476250</xdr:rowOff>
    </xdr:to>
    <xdr:pic>
      <xdr:nvPicPr>
        <xdr:cNvPr id="6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5553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1248</xdr:row>
      <xdr:rowOff>279400</xdr:rowOff>
    </xdr:from>
    <xdr:to>
      <xdr:col>10</xdr:col>
      <xdr:colOff>196850</xdr:colOff>
      <xdr:row>1248</xdr:row>
      <xdr:rowOff>498475</xdr:rowOff>
    </xdr:to>
    <xdr:pic>
      <xdr:nvPicPr>
        <xdr:cNvPr id="6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63714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1248</xdr:row>
      <xdr:rowOff>257175</xdr:rowOff>
    </xdr:from>
    <xdr:to>
      <xdr:col>10</xdr:col>
      <xdr:colOff>514350</xdr:colOff>
      <xdr:row>1248</xdr:row>
      <xdr:rowOff>476250</xdr:rowOff>
    </xdr:to>
    <xdr:pic>
      <xdr:nvPicPr>
        <xdr:cNvPr id="6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63691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1248</xdr:row>
      <xdr:rowOff>279400</xdr:rowOff>
    </xdr:from>
    <xdr:to>
      <xdr:col>3</xdr:col>
      <xdr:colOff>196850</xdr:colOff>
      <xdr:row>1248</xdr:row>
      <xdr:rowOff>498475</xdr:rowOff>
    </xdr:to>
    <xdr:pic>
      <xdr:nvPicPr>
        <xdr:cNvPr id="6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3714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1248</xdr:row>
      <xdr:rowOff>257175</xdr:rowOff>
    </xdr:from>
    <xdr:to>
      <xdr:col>3</xdr:col>
      <xdr:colOff>514350</xdr:colOff>
      <xdr:row>1248</xdr:row>
      <xdr:rowOff>476250</xdr:rowOff>
    </xdr:to>
    <xdr:pic>
      <xdr:nvPicPr>
        <xdr:cNvPr id="6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3691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1255</xdr:row>
      <xdr:rowOff>279400</xdr:rowOff>
    </xdr:from>
    <xdr:to>
      <xdr:col>10</xdr:col>
      <xdr:colOff>196850</xdr:colOff>
      <xdr:row>1255</xdr:row>
      <xdr:rowOff>498475</xdr:rowOff>
    </xdr:to>
    <xdr:pic>
      <xdr:nvPicPr>
        <xdr:cNvPr id="6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6937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1255</xdr:row>
      <xdr:rowOff>257175</xdr:rowOff>
    </xdr:from>
    <xdr:to>
      <xdr:col>10</xdr:col>
      <xdr:colOff>514350</xdr:colOff>
      <xdr:row>1255</xdr:row>
      <xdr:rowOff>476250</xdr:rowOff>
    </xdr:to>
    <xdr:pic>
      <xdr:nvPicPr>
        <xdr:cNvPr id="6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6934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1255</xdr:row>
      <xdr:rowOff>279400</xdr:rowOff>
    </xdr:from>
    <xdr:to>
      <xdr:col>3</xdr:col>
      <xdr:colOff>196850</xdr:colOff>
      <xdr:row>1255</xdr:row>
      <xdr:rowOff>498475</xdr:rowOff>
    </xdr:to>
    <xdr:pic>
      <xdr:nvPicPr>
        <xdr:cNvPr id="6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69371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1255</xdr:row>
      <xdr:rowOff>257175</xdr:rowOff>
    </xdr:from>
    <xdr:to>
      <xdr:col>3</xdr:col>
      <xdr:colOff>514350</xdr:colOff>
      <xdr:row>1255</xdr:row>
      <xdr:rowOff>476250</xdr:rowOff>
    </xdr:to>
    <xdr:pic>
      <xdr:nvPicPr>
        <xdr:cNvPr id="6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69349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1262</xdr:row>
      <xdr:rowOff>279400</xdr:rowOff>
    </xdr:from>
    <xdr:to>
      <xdr:col>10</xdr:col>
      <xdr:colOff>196850</xdr:colOff>
      <xdr:row>1262</xdr:row>
      <xdr:rowOff>498475</xdr:rowOff>
    </xdr:to>
    <xdr:pic>
      <xdr:nvPicPr>
        <xdr:cNvPr id="6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7515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1262</xdr:row>
      <xdr:rowOff>257175</xdr:rowOff>
    </xdr:from>
    <xdr:to>
      <xdr:col>10</xdr:col>
      <xdr:colOff>514350</xdr:colOff>
      <xdr:row>1262</xdr:row>
      <xdr:rowOff>476250</xdr:rowOff>
    </xdr:to>
    <xdr:pic>
      <xdr:nvPicPr>
        <xdr:cNvPr id="6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7513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1262</xdr:row>
      <xdr:rowOff>279400</xdr:rowOff>
    </xdr:from>
    <xdr:to>
      <xdr:col>3</xdr:col>
      <xdr:colOff>196850</xdr:colOff>
      <xdr:row>1262</xdr:row>
      <xdr:rowOff>498475</xdr:rowOff>
    </xdr:to>
    <xdr:pic>
      <xdr:nvPicPr>
        <xdr:cNvPr id="6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75153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1262</xdr:row>
      <xdr:rowOff>257175</xdr:rowOff>
    </xdr:from>
    <xdr:to>
      <xdr:col>3</xdr:col>
      <xdr:colOff>514350</xdr:colOff>
      <xdr:row>1262</xdr:row>
      <xdr:rowOff>476250</xdr:rowOff>
    </xdr:to>
    <xdr:pic>
      <xdr:nvPicPr>
        <xdr:cNvPr id="6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75131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1266</xdr:row>
      <xdr:rowOff>279400</xdr:rowOff>
    </xdr:from>
    <xdr:to>
      <xdr:col>10</xdr:col>
      <xdr:colOff>196850</xdr:colOff>
      <xdr:row>1266</xdr:row>
      <xdr:rowOff>498475</xdr:rowOff>
    </xdr:to>
    <xdr:pic>
      <xdr:nvPicPr>
        <xdr:cNvPr id="6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7761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1266</xdr:row>
      <xdr:rowOff>257175</xdr:rowOff>
    </xdr:from>
    <xdr:to>
      <xdr:col>10</xdr:col>
      <xdr:colOff>514350</xdr:colOff>
      <xdr:row>1266</xdr:row>
      <xdr:rowOff>476250</xdr:rowOff>
    </xdr:to>
    <xdr:pic>
      <xdr:nvPicPr>
        <xdr:cNvPr id="6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7758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1266</xdr:row>
      <xdr:rowOff>279400</xdr:rowOff>
    </xdr:from>
    <xdr:to>
      <xdr:col>3</xdr:col>
      <xdr:colOff>196850</xdr:colOff>
      <xdr:row>1266</xdr:row>
      <xdr:rowOff>498475</xdr:rowOff>
    </xdr:to>
    <xdr:pic>
      <xdr:nvPicPr>
        <xdr:cNvPr id="6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77611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1266</xdr:row>
      <xdr:rowOff>257175</xdr:rowOff>
    </xdr:from>
    <xdr:to>
      <xdr:col>3</xdr:col>
      <xdr:colOff>514350</xdr:colOff>
      <xdr:row>1266</xdr:row>
      <xdr:rowOff>476250</xdr:rowOff>
    </xdr:to>
    <xdr:pic>
      <xdr:nvPicPr>
        <xdr:cNvPr id="6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7758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1276</xdr:row>
      <xdr:rowOff>279400</xdr:rowOff>
    </xdr:from>
    <xdr:to>
      <xdr:col>10</xdr:col>
      <xdr:colOff>196850</xdr:colOff>
      <xdr:row>1276</xdr:row>
      <xdr:rowOff>498475</xdr:rowOff>
    </xdr:to>
    <xdr:pic>
      <xdr:nvPicPr>
        <xdr:cNvPr id="6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8569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1276</xdr:row>
      <xdr:rowOff>257175</xdr:rowOff>
    </xdr:from>
    <xdr:to>
      <xdr:col>10</xdr:col>
      <xdr:colOff>514350</xdr:colOff>
      <xdr:row>1276</xdr:row>
      <xdr:rowOff>476250</xdr:rowOff>
    </xdr:to>
    <xdr:pic>
      <xdr:nvPicPr>
        <xdr:cNvPr id="6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8567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1276</xdr:row>
      <xdr:rowOff>279400</xdr:rowOff>
    </xdr:from>
    <xdr:to>
      <xdr:col>3</xdr:col>
      <xdr:colOff>196850</xdr:colOff>
      <xdr:row>1276</xdr:row>
      <xdr:rowOff>498475</xdr:rowOff>
    </xdr:to>
    <xdr:pic>
      <xdr:nvPicPr>
        <xdr:cNvPr id="6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856978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1276</xdr:row>
      <xdr:rowOff>257175</xdr:rowOff>
    </xdr:from>
    <xdr:to>
      <xdr:col>3</xdr:col>
      <xdr:colOff>514350</xdr:colOff>
      <xdr:row>1276</xdr:row>
      <xdr:rowOff>476250</xdr:rowOff>
    </xdr:to>
    <xdr:pic>
      <xdr:nvPicPr>
        <xdr:cNvPr id="6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856755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1283</xdr:row>
      <xdr:rowOff>279400</xdr:rowOff>
    </xdr:from>
    <xdr:to>
      <xdr:col>10</xdr:col>
      <xdr:colOff>196850</xdr:colOff>
      <xdr:row>1283</xdr:row>
      <xdr:rowOff>498475</xdr:rowOff>
    </xdr:to>
    <xdr:pic>
      <xdr:nvPicPr>
        <xdr:cNvPr id="6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91603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1283</xdr:row>
      <xdr:rowOff>257175</xdr:rowOff>
    </xdr:from>
    <xdr:to>
      <xdr:col>10</xdr:col>
      <xdr:colOff>514350</xdr:colOff>
      <xdr:row>1283</xdr:row>
      <xdr:rowOff>476250</xdr:rowOff>
    </xdr:to>
    <xdr:pic>
      <xdr:nvPicPr>
        <xdr:cNvPr id="6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9158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1283</xdr:row>
      <xdr:rowOff>279400</xdr:rowOff>
    </xdr:from>
    <xdr:to>
      <xdr:col>3</xdr:col>
      <xdr:colOff>196850</xdr:colOff>
      <xdr:row>1283</xdr:row>
      <xdr:rowOff>498475</xdr:rowOff>
    </xdr:to>
    <xdr:pic>
      <xdr:nvPicPr>
        <xdr:cNvPr id="6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1603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1283</xdr:row>
      <xdr:rowOff>257175</xdr:rowOff>
    </xdr:from>
    <xdr:to>
      <xdr:col>3</xdr:col>
      <xdr:colOff>514350</xdr:colOff>
      <xdr:row>1283</xdr:row>
      <xdr:rowOff>476250</xdr:rowOff>
    </xdr:to>
    <xdr:pic>
      <xdr:nvPicPr>
        <xdr:cNvPr id="6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1581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1290</xdr:row>
      <xdr:rowOff>279400</xdr:rowOff>
    </xdr:from>
    <xdr:to>
      <xdr:col>10</xdr:col>
      <xdr:colOff>196850</xdr:colOff>
      <xdr:row>1290</xdr:row>
      <xdr:rowOff>498475</xdr:rowOff>
    </xdr:to>
    <xdr:pic>
      <xdr:nvPicPr>
        <xdr:cNvPr id="6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9733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1290</xdr:row>
      <xdr:rowOff>257175</xdr:rowOff>
    </xdr:from>
    <xdr:to>
      <xdr:col>10</xdr:col>
      <xdr:colOff>514350</xdr:colOff>
      <xdr:row>1290</xdr:row>
      <xdr:rowOff>476250</xdr:rowOff>
    </xdr:to>
    <xdr:pic>
      <xdr:nvPicPr>
        <xdr:cNvPr id="6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9731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1290</xdr:row>
      <xdr:rowOff>279400</xdr:rowOff>
    </xdr:from>
    <xdr:to>
      <xdr:col>3</xdr:col>
      <xdr:colOff>196850</xdr:colOff>
      <xdr:row>1290</xdr:row>
      <xdr:rowOff>498475</xdr:rowOff>
    </xdr:to>
    <xdr:pic>
      <xdr:nvPicPr>
        <xdr:cNvPr id="6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7337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1290</xdr:row>
      <xdr:rowOff>257175</xdr:rowOff>
    </xdr:from>
    <xdr:to>
      <xdr:col>3</xdr:col>
      <xdr:colOff>514350</xdr:colOff>
      <xdr:row>1290</xdr:row>
      <xdr:rowOff>476250</xdr:rowOff>
    </xdr:to>
    <xdr:pic>
      <xdr:nvPicPr>
        <xdr:cNvPr id="6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7315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1304</xdr:row>
      <xdr:rowOff>279400</xdr:rowOff>
    </xdr:from>
    <xdr:to>
      <xdr:col>10</xdr:col>
      <xdr:colOff>196850</xdr:colOff>
      <xdr:row>1304</xdr:row>
      <xdr:rowOff>498475</xdr:rowOff>
    </xdr:to>
    <xdr:pic>
      <xdr:nvPicPr>
        <xdr:cNvPr id="64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0763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1304</xdr:row>
      <xdr:rowOff>257175</xdr:rowOff>
    </xdr:from>
    <xdr:to>
      <xdr:col>10</xdr:col>
      <xdr:colOff>514350</xdr:colOff>
      <xdr:row>1304</xdr:row>
      <xdr:rowOff>476250</xdr:rowOff>
    </xdr:to>
    <xdr:pic>
      <xdr:nvPicPr>
        <xdr:cNvPr id="6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07611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1304</xdr:row>
      <xdr:rowOff>279400</xdr:rowOff>
    </xdr:from>
    <xdr:to>
      <xdr:col>3</xdr:col>
      <xdr:colOff>196850</xdr:colOff>
      <xdr:row>1304</xdr:row>
      <xdr:rowOff>498475</xdr:rowOff>
    </xdr:to>
    <xdr:pic>
      <xdr:nvPicPr>
        <xdr:cNvPr id="6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076338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1304</xdr:row>
      <xdr:rowOff>257175</xdr:rowOff>
    </xdr:from>
    <xdr:to>
      <xdr:col>3</xdr:col>
      <xdr:colOff>514350</xdr:colOff>
      <xdr:row>1304</xdr:row>
      <xdr:rowOff>476250</xdr:rowOff>
    </xdr:to>
    <xdr:pic>
      <xdr:nvPicPr>
        <xdr:cNvPr id="6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07611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1311</xdr:row>
      <xdr:rowOff>279400</xdr:rowOff>
    </xdr:from>
    <xdr:to>
      <xdr:col>10</xdr:col>
      <xdr:colOff>196850</xdr:colOff>
      <xdr:row>1311</xdr:row>
      <xdr:rowOff>498475</xdr:rowOff>
    </xdr:to>
    <xdr:pic>
      <xdr:nvPicPr>
        <xdr:cNvPr id="6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1341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1311</xdr:row>
      <xdr:rowOff>257175</xdr:rowOff>
    </xdr:from>
    <xdr:to>
      <xdr:col>10</xdr:col>
      <xdr:colOff>514350</xdr:colOff>
      <xdr:row>1311</xdr:row>
      <xdr:rowOff>476250</xdr:rowOff>
    </xdr:to>
    <xdr:pic>
      <xdr:nvPicPr>
        <xdr:cNvPr id="6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13393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1311</xdr:row>
      <xdr:rowOff>279400</xdr:rowOff>
    </xdr:from>
    <xdr:to>
      <xdr:col>3</xdr:col>
      <xdr:colOff>196850</xdr:colOff>
      <xdr:row>1311</xdr:row>
      <xdr:rowOff>498475</xdr:rowOff>
    </xdr:to>
    <xdr:pic>
      <xdr:nvPicPr>
        <xdr:cNvPr id="64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13415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1311</xdr:row>
      <xdr:rowOff>257175</xdr:rowOff>
    </xdr:from>
    <xdr:to>
      <xdr:col>3</xdr:col>
      <xdr:colOff>514350</xdr:colOff>
      <xdr:row>1311</xdr:row>
      <xdr:rowOff>476250</xdr:rowOff>
    </xdr:to>
    <xdr:pic>
      <xdr:nvPicPr>
        <xdr:cNvPr id="6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13393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1318</xdr:row>
      <xdr:rowOff>279400</xdr:rowOff>
    </xdr:from>
    <xdr:to>
      <xdr:col>10</xdr:col>
      <xdr:colOff>196850</xdr:colOff>
      <xdr:row>1318</xdr:row>
      <xdr:rowOff>498475</xdr:rowOff>
    </xdr:to>
    <xdr:pic>
      <xdr:nvPicPr>
        <xdr:cNvPr id="6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19073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1318</xdr:row>
      <xdr:rowOff>257175</xdr:rowOff>
    </xdr:from>
    <xdr:to>
      <xdr:col>10</xdr:col>
      <xdr:colOff>514350</xdr:colOff>
      <xdr:row>1318</xdr:row>
      <xdr:rowOff>476250</xdr:rowOff>
    </xdr:to>
    <xdr:pic>
      <xdr:nvPicPr>
        <xdr:cNvPr id="6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1905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1318</xdr:row>
      <xdr:rowOff>279400</xdr:rowOff>
    </xdr:from>
    <xdr:to>
      <xdr:col>3</xdr:col>
      <xdr:colOff>196850</xdr:colOff>
      <xdr:row>1318</xdr:row>
      <xdr:rowOff>498475</xdr:rowOff>
    </xdr:to>
    <xdr:pic>
      <xdr:nvPicPr>
        <xdr:cNvPr id="6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19073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1318</xdr:row>
      <xdr:rowOff>257175</xdr:rowOff>
    </xdr:from>
    <xdr:to>
      <xdr:col>3</xdr:col>
      <xdr:colOff>514350</xdr:colOff>
      <xdr:row>1318</xdr:row>
      <xdr:rowOff>476250</xdr:rowOff>
    </xdr:to>
    <xdr:pic>
      <xdr:nvPicPr>
        <xdr:cNvPr id="6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19051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1322</xdr:row>
      <xdr:rowOff>279400</xdr:rowOff>
    </xdr:from>
    <xdr:to>
      <xdr:col>10</xdr:col>
      <xdr:colOff>196850</xdr:colOff>
      <xdr:row>1322</xdr:row>
      <xdr:rowOff>498475</xdr:rowOff>
    </xdr:to>
    <xdr:pic>
      <xdr:nvPicPr>
        <xdr:cNvPr id="64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148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1322</xdr:row>
      <xdr:rowOff>257175</xdr:rowOff>
    </xdr:from>
    <xdr:to>
      <xdr:col>10</xdr:col>
      <xdr:colOff>514350</xdr:colOff>
      <xdr:row>1322</xdr:row>
      <xdr:rowOff>476250</xdr:rowOff>
    </xdr:to>
    <xdr:pic>
      <xdr:nvPicPr>
        <xdr:cNvPr id="6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2146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1322</xdr:row>
      <xdr:rowOff>279400</xdr:rowOff>
    </xdr:from>
    <xdr:to>
      <xdr:col>3</xdr:col>
      <xdr:colOff>196850</xdr:colOff>
      <xdr:row>1322</xdr:row>
      <xdr:rowOff>498475</xdr:rowOff>
    </xdr:to>
    <xdr:pic>
      <xdr:nvPicPr>
        <xdr:cNvPr id="6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1483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1322</xdr:row>
      <xdr:rowOff>257175</xdr:rowOff>
    </xdr:from>
    <xdr:to>
      <xdr:col>3</xdr:col>
      <xdr:colOff>514350</xdr:colOff>
      <xdr:row>1322</xdr:row>
      <xdr:rowOff>476250</xdr:rowOff>
    </xdr:to>
    <xdr:pic>
      <xdr:nvPicPr>
        <xdr:cNvPr id="6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1461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1332</xdr:row>
      <xdr:rowOff>279400</xdr:rowOff>
    </xdr:from>
    <xdr:to>
      <xdr:col>10</xdr:col>
      <xdr:colOff>196850</xdr:colOff>
      <xdr:row>1332</xdr:row>
      <xdr:rowOff>498475</xdr:rowOff>
    </xdr:to>
    <xdr:pic>
      <xdr:nvPicPr>
        <xdr:cNvPr id="6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2962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1332</xdr:row>
      <xdr:rowOff>257175</xdr:rowOff>
    </xdr:from>
    <xdr:to>
      <xdr:col>10</xdr:col>
      <xdr:colOff>514350</xdr:colOff>
      <xdr:row>1332</xdr:row>
      <xdr:rowOff>476250</xdr:rowOff>
    </xdr:to>
    <xdr:pic>
      <xdr:nvPicPr>
        <xdr:cNvPr id="6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29604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1332</xdr:row>
      <xdr:rowOff>279400</xdr:rowOff>
    </xdr:from>
    <xdr:to>
      <xdr:col>3</xdr:col>
      <xdr:colOff>196850</xdr:colOff>
      <xdr:row>1332</xdr:row>
      <xdr:rowOff>498475</xdr:rowOff>
    </xdr:to>
    <xdr:pic>
      <xdr:nvPicPr>
        <xdr:cNvPr id="64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29627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1332</xdr:row>
      <xdr:rowOff>257175</xdr:rowOff>
    </xdr:from>
    <xdr:to>
      <xdr:col>3</xdr:col>
      <xdr:colOff>514350</xdr:colOff>
      <xdr:row>1332</xdr:row>
      <xdr:rowOff>476250</xdr:rowOff>
    </xdr:to>
    <xdr:pic>
      <xdr:nvPicPr>
        <xdr:cNvPr id="6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296048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1339</xdr:row>
      <xdr:rowOff>279400</xdr:rowOff>
    </xdr:from>
    <xdr:to>
      <xdr:col>10</xdr:col>
      <xdr:colOff>196850</xdr:colOff>
      <xdr:row>1339</xdr:row>
      <xdr:rowOff>498475</xdr:rowOff>
    </xdr:to>
    <xdr:pic>
      <xdr:nvPicPr>
        <xdr:cNvPr id="6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35056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1339</xdr:row>
      <xdr:rowOff>257175</xdr:rowOff>
    </xdr:from>
    <xdr:to>
      <xdr:col>10</xdr:col>
      <xdr:colOff>514350</xdr:colOff>
      <xdr:row>1339</xdr:row>
      <xdr:rowOff>476250</xdr:rowOff>
    </xdr:to>
    <xdr:pic>
      <xdr:nvPicPr>
        <xdr:cNvPr id="6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3503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1339</xdr:row>
      <xdr:rowOff>279400</xdr:rowOff>
    </xdr:from>
    <xdr:to>
      <xdr:col>3</xdr:col>
      <xdr:colOff>196850</xdr:colOff>
      <xdr:row>1339</xdr:row>
      <xdr:rowOff>498475</xdr:rowOff>
    </xdr:to>
    <xdr:pic>
      <xdr:nvPicPr>
        <xdr:cNvPr id="6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35056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1339</xdr:row>
      <xdr:rowOff>257175</xdr:rowOff>
    </xdr:from>
    <xdr:to>
      <xdr:col>3</xdr:col>
      <xdr:colOff>514350</xdr:colOff>
      <xdr:row>1339</xdr:row>
      <xdr:rowOff>476250</xdr:rowOff>
    </xdr:to>
    <xdr:pic>
      <xdr:nvPicPr>
        <xdr:cNvPr id="64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350341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1346</xdr:row>
      <xdr:rowOff>279400</xdr:rowOff>
    </xdr:from>
    <xdr:to>
      <xdr:col>10</xdr:col>
      <xdr:colOff>196850</xdr:colOff>
      <xdr:row>1346</xdr:row>
      <xdr:rowOff>498475</xdr:rowOff>
    </xdr:to>
    <xdr:pic>
      <xdr:nvPicPr>
        <xdr:cNvPr id="64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4047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1346</xdr:row>
      <xdr:rowOff>257175</xdr:rowOff>
    </xdr:from>
    <xdr:to>
      <xdr:col>10</xdr:col>
      <xdr:colOff>514350</xdr:colOff>
      <xdr:row>1346</xdr:row>
      <xdr:rowOff>476250</xdr:rowOff>
    </xdr:to>
    <xdr:pic>
      <xdr:nvPicPr>
        <xdr:cNvPr id="64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4045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1346</xdr:row>
      <xdr:rowOff>279400</xdr:rowOff>
    </xdr:from>
    <xdr:to>
      <xdr:col>3</xdr:col>
      <xdr:colOff>196850</xdr:colOff>
      <xdr:row>1346</xdr:row>
      <xdr:rowOff>498475</xdr:rowOff>
    </xdr:to>
    <xdr:pic>
      <xdr:nvPicPr>
        <xdr:cNvPr id="64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0476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1346</xdr:row>
      <xdr:rowOff>257175</xdr:rowOff>
    </xdr:from>
    <xdr:to>
      <xdr:col>3</xdr:col>
      <xdr:colOff>514350</xdr:colOff>
      <xdr:row>1346</xdr:row>
      <xdr:rowOff>476250</xdr:rowOff>
    </xdr:to>
    <xdr:pic>
      <xdr:nvPicPr>
        <xdr:cNvPr id="64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0453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1350</xdr:row>
      <xdr:rowOff>279400</xdr:rowOff>
    </xdr:from>
    <xdr:to>
      <xdr:col>10</xdr:col>
      <xdr:colOff>196850</xdr:colOff>
      <xdr:row>1350</xdr:row>
      <xdr:rowOff>498475</xdr:rowOff>
    </xdr:to>
    <xdr:pic>
      <xdr:nvPicPr>
        <xdr:cNvPr id="64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4300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1350</xdr:row>
      <xdr:rowOff>257175</xdr:rowOff>
    </xdr:from>
    <xdr:to>
      <xdr:col>10</xdr:col>
      <xdr:colOff>514350</xdr:colOff>
      <xdr:row>1350</xdr:row>
      <xdr:rowOff>476250</xdr:rowOff>
    </xdr:to>
    <xdr:pic>
      <xdr:nvPicPr>
        <xdr:cNvPr id="64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42987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1350</xdr:row>
      <xdr:rowOff>279400</xdr:rowOff>
    </xdr:from>
    <xdr:to>
      <xdr:col>3</xdr:col>
      <xdr:colOff>196850</xdr:colOff>
      <xdr:row>1350</xdr:row>
      <xdr:rowOff>498475</xdr:rowOff>
    </xdr:to>
    <xdr:pic>
      <xdr:nvPicPr>
        <xdr:cNvPr id="64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4300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1350</xdr:row>
      <xdr:rowOff>257175</xdr:rowOff>
    </xdr:from>
    <xdr:to>
      <xdr:col>3</xdr:col>
      <xdr:colOff>514350</xdr:colOff>
      <xdr:row>1350</xdr:row>
      <xdr:rowOff>476250</xdr:rowOff>
    </xdr:to>
    <xdr:pic>
      <xdr:nvPicPr>
        <xdr:cNvPr id="64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42987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1360</xdr:row>
      <xdr:rowOff>279400</xdr:rowOff>
    </xdr:from>
    <xdr:to>
      <xdr:col>10</xdr:col>
      <xdr:colOff>196850</xdr:colOff>
      <xdr:row>1360</xdr:row>
      <xdr:rowOff>498475</xdr:rowOff>
    </xdr:to>
    <xdr:pic>
      <xdr:nvPicPr>
        <xdr:cNvPr id="64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5092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1360</xdr:row>
      <xdr:rowOff>257175</xdr:rowOff>
    </xdr:from>
    <xdr:to>
      <xdr:col>10</xdr:col>
      <xdr:colOff>514350</xdr:colOff>
      <xdr:row>1360</xdr:row>
      <xdr:rowOff>476250</xdr:rowOff>
    </xdr:to>
    <xdr:pic>
      <xdr:nvPicPr>
        <xdr:cNvPr id="64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5090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1360</xdr:row>
      <xdr:rowOff>279400</xdr:rowOff>
    </xdr:from>
    <xdr:to>
      <xdr:col>3</xdr:col>
      <xdr:colOff>196850</xdr:colOff>
      <xdr:row>1360</xdr:row>
      <xdr:rowOff>498475</xdr:rowOff>
    </xdr:to>
    <xdr:pic>
      <xdr:nvPicPr>
        <xdr:cNvPr id="64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5092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1360</xdr:row>
      <xdr:rowOff>257175</xdr:rowOff>
    </xdr:from>
    <xdr:to>
      <xdr:col>3</xdr:col>
      <xdr:colOff>514350</xdr:colOff>
      <xdr:row>1360</xdr:row>
      <xdr:rowOff>476250</xdr:rowOff>
    </xdr:to>
    <xdr:pic>
      <xdr:nvPicPr>
        <xdr:cNvPr id="64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5090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1367</xdr:row>
      <xdr:rowOff>279400</xdr:rowOff>
    </xdr:from>
    <xdr:to>
      <xdr:col>10</xdr:col>
      <xdr:colOff>196850</xdr:colOff>
      <xdr:row>1367</xdr:row>
      <xdr:rowOff>498475</xdr:rowOff>
    </xdr:to>
    <xdr:pic>
      <xdr:nvPicPr>
        <xdr:cNvPr id="64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5655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1367</xdr:row>
      <xdr:rowOff>257175</xdr:rowOff>
    </xdr:from>
    <xdr:to>
      <xdr:col>10</xdr:col>
      <xdr:colOff>514350</xdr:colOff>
      <xdr:row>1367</xdr:row>
      <xdr:rowOff>476250</xdr:rowOff>
    </xdr:to>
    <xdr:pic>
      <xdr:nvPicPr>
        <xdr:cNvPr id="64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5653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1367</xdr:row>
      <xdr:rowOff>279400</xdr:rowOff>
    </xdr:from>
    <xdr:to>
      <xdr:col>3</xdr:col>
      <xdr:colOff>196850</xdr:colOff>
      <xdr:row>1367</xdr:row>
      <xdr:rowOff>498475</xdr:rowOff>
    </xdr:to>
    <xdr:pic>
      <xdr:nvPicPr>
        <xdr:cNvPr id="64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56554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1367</xdr:row>
      <xdr:rowOff>257175</xdr:rowOff>
    </xdr:from>
    <xdr:to>
      <xdr:col>3</xdr:col>
      <xdr:colOff>514350</xdr:colOff>
      <xdr:row>1367</xdr:row>
      <xdr:rowOff>476250</xdr:rowOff>
    </xdr:to>
    <xdr:pic>
      <xdr:nvPicPr>
        <xdr:cNvPr id="64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56532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1374</xdr:row>
      <xdr:rowOff>279400</xdr:rowOff>
    </xdr:from>
    <xdr:to>
      <xdr:col>10</xdr:col>
      <xdr:colOff>196850</xdr:colOff>
      <xdr:row>1374</xdr:row>
      <xdr:rowOff>498475</xdr:rowOff>
    </xdr:to>
    <xdr:pic>
      <xdr:nvPicPr>
        <xdr:cNvPr id="64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208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1374</xdr:row>
      <xdr:rowOff>257175</xdr:rowOff>
    </xdr:from>
    <xdr:to>
      <xdr:col>10</xdr:col>
      <xdr:colOff>514350</xdr:colOff>
      <xdr:row>1374</xdr:row>
      <xdr:rowOff>476250</xdr:rowOff>
    </xdr:to>
    <xdr:pic>
      <xdr:nvPicPr>
        <xdr:cNvPr id="64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206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1374</xdr:row>
      <xdr:rowOff>279400</xdr:rowOff>
    </xdr:from>
    <xdr:to>
      <xdr:col>3</xdr:col>
      <xdr:colOff>196850</xdr:colOff>
      <xdr:row>1374</xdr:row>
      <xdr:rowOff>498475</xdr:rowOff>
    </xdr:to>
    <xdr:pic>
      <xdr:nvPicPr>
        <xdr:cNvPr id="64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20883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1374</xdr:row>
      <xdr:rowOff>257175</xdr:rowOff>
    </xdr:from>
    <xdr:to>
      <xdr:col>3</xdr:col>
      <xdr:colOff>514350</xdr:colOff>
      <xdr:row>1374</xdr:row>
      <xdr:rowOff>476250</xdr:rowOff>
    </xdr:to>
    <xdr:pic>
      <xdr:nvPicPr>
        <xdr:cNvPr id="64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20660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1378</xdr:row>
      <xdr:rowOff>279400</xdr:rowOff>
    </xdr:from>
    <xdr:to>
      <xdr:col>10</xdr:col>
      <xdr:colOff>196850</xdr:colOff>
      <xdr:row>1378</xdr:row>
      <xdr:rowOff>498475</xdr:rowOff>
    </xdr:to>
    <xdr:pic>
      <xdr:nvPicPr>
        <xdr:cNvPr id="64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6447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1378</xdr:row>
      <xdr:rowOff>257175</xdr:rowOff>
    </xdr:from>
    <xdr:to>
      <xdr:col>10</xdr:col>
      <xdr:colOff>514350</xdr:colOff>
      <xdr:row>1378</xdr:row>
      <xdr:rowOff>476250</xdr:rowOff>
    </xdr:to>
    <xdr:pic>
      <xdr:nvPicPr>
        <xdr:cNvPr id="64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64456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1378</xdr:row>
      <xdr:rowOff>279400</xdr:rowOff>
    </xdr:from>
    <xdr:to>
      <xdr:col>3</xdr:col>
      <xdr:colOff>196850</xdr:colOff>
      <xdr:row>1378</xdr:row>
      <xdr:rowOff>498475</xdr:rowOff>
    </xdr:to>
    <xdr:pic>
      <xdr:nvPicPr>
        <xdr:cNvPr id="64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644790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1378</xdr:row>
      <xdr:rowOff>257175</xdr:rowOff>
    </xdr:from>
    <xdr:to>
      <xdr:col>3</xdr:col>
      <xdr:colOff>514350</xdr:colOff>
      <xdr:row>1378</xdr:row>
      <xdr:rowOff>476250</xdr:rowOff>
    </xdr:to>
    <xdr:pic>
      <xdr:nvPicPr>
        <xdr:cNvPr id="64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64456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1388</xdr:row>
      <xdr:rowOff>279400</xdr:rowOff>
    </xdr:from>
    <xdr:to>
      <xdr:col>10</xdr:col>
      <xdr:colOff>196850</xdr:colOff>
      <xdr:row>1388</xdr:row>
      <xdr:rowOff>498475</xdr:rowOff>
    </xdr:to>
    <xdr:pic>
      <xdr:nvPicPr>
        <xdr:cNvPr id="64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7255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1388</xdr:row>
      <xdr:rowOff>257175</xdr:rowOff>
    </xdr:from>
    <xdr:to>
      <xdr:col>10</xdr:col>
      <xdr:colOff>514350</xdr:colOff>
      <xdr:row>1388</xdr:row>
      <xdr:rowOff>476250</xdr:rowOff>
    </xdr:to>
    <xdr:pic>
      <xdr:nvPicPr>
        <xdr:cNvPr id="64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72534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1388</xdr:row>
      <xdr:rowOff>279400</xdr:rowOff>
    </xdr:from>
    <xdr:to>
      <xdr:col>3</xdr:col>
      <xdr:colOff>196850</xdr:colOff>
      <xdr:row>1388</xdr:row>
      <xdr:rowOff>498475</xdr:rowOff>
    </xdr:to>
    <xdr:pic>
      <xdr:nvPicPr>
        <xdr:cNvPr id="64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25562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1388</xdr:row>
      <xdr:rowOff>257175</xdr:rowOff>
    </xdr:from>
    <xdr:to>
      <xdr:col>3</xdr:col>
      <xdr:colOff>514350</xdr:colOff>
      <xdr:row>1388</xdr:row>
      <xdr:rowOff>476250</xdr:rowOff>
    </xdr:to>
    <xdr:pic>
      <xdr:nvPicPr>
        <xdr:cNvPr id="64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25340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1395</xdr:row>
      <xdr:rowOff>279400</xdr:rowOff>
    </xdr:from>
    <xdr:to>
      <xdr:col>10</xdr:col>
      <xdr:colOff>196850</xdr:colOff>
      <xdr:row>1395</xdr:row>
      <xdr:rowOff>498475</xdr:rowOff>
    </xdr:to>
    <xdr:pic>
      <xdr:nvPicPr>
        <xdr:cNvPr id="64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78318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1395</xdr:row>
      <xdr:rowOff>257175</xdr:rowOff>
    </xdr:from>
    <xdr:to>
      <xdr:col>10</xdr:col>
      <xdr:colOff>514350</xdr:colOff>
      <xdr:row>1395</xdr:row>
      <xdr:rowOff>476250</xdr:rowOff>
    </xdr:to>
    <xdr:pic>
      <xdr:nvPicPr>
        <xdr:cNvPr id="64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782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1395</xdr:row>
      <xdr:rowOff>279400</xdr:rowOff>
    </xdr:from>
    <xdr:to>
      <xdr:col>3</xdr:col>
      <xdr:colOff>196850</xdr:colOff>
      <xdr:row>1395</xdr:row>
      <xdr:rowOff>498475</xdr:rowOff>
    </xdr:to>
    <xdr:pic>
      <xdr:nvPicPr>
        <xdr:cNvPr id="64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78318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1395</xdr:row>
      <xdr:rowOff>257175</xdr:rowOff>
    </xdr:from>
    <xdr:to>
      <xdr:col>3</xdr:col>
      <xdr:colOff>514350</xdr:colOff>
      <xdr:row>1395</xdr:row>
      <xdr:rowOff>476250</xdr:rowOff>
    </xdr:to>
    <xdr:pic>
      <xdr:nvPicPr>
        <xdr:cNvPr id="64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78296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1402</xdr:row>
      <xdr:rowOff>279400</xdr:rowOff>
    </xdr:from>
    <xdr:to>
      <xdr:col>10</xdr:col>
      <xdr:colOff>196850</xdr:colOff>
      <xdr:row>1402</xdr:row>
      <xdr:rowOff>498475</xdr:rowOff>
    </xdr:to>
    <xdr:pic>
      <xdr:nvPicPr>
        <xdr:cNvPr id="64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8392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1402</xdr:row>
      <xdr:rowOff>257175</xdr:rowOff>
    </xdr:from>
    <xdr:to>
      <xdr:col>10</xdr:col>
      <xdr:colOff>514350</xdr:colOff>
      <xdr:row>1402</xdr:row>
      <xdr:rowOff>476250</xdr:rowOff>
    </xdr:to>
    <xdr:pic>
      <xdr:nvPicPr>
        <xdr:cNvPr id="64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8390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1402</xdr:row>
      <xdr:rowOff>279400</xdr:rowOff>
    </xdr:from>
    <xdr:to>
      <xdr:col>3</xdr:col>
      <xdr:colOff>196850</xdr:colOff>
      <xdr:row>1402</xdr:row>
      <xdr:rowOff>498475</xdr:rowOff>
    </xdr:to>
    <xdr:pic>
      <xdr:nvPicPr>
        <xdr:cNvPr id="64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83929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1402</xdr:row>
      <xdr:rowOff>257175</xdr:rowOff>
    </xdr:from>
    <xdr:to>
      <xdr:col>3</xdr:col>
      <xdr:colOff>514350</xdr:colOff>
      <xdr:row>1402</xdr:row>
      <xdr:rowOff>476250</xdr:rowOff>
    </xdr:to>
    <xdr:pic>
      <xdr:nvPicPr>
        <xdr:cNvPr id="64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839069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1406</xdr:row>
      <xdr:rowOff>279400</xdr:rowOff>
    </xdr:from>
    <xdr:to>
      <xdr:col>10</xdr:col>
      <xdr:colOff>196850</xdr:colOff>
      <xdr:row>1406</xdr:row>
      <xdr:rowOff>498475</xdr:rowOff>
    </xdr:to>
    <xdr:pic>
      <xdr:nvPicPr>
        <xdr:cNvPr id="64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8671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1406</xdr:row>
      <xdr:rowOff>257175</xdr:rowOff>
    </xdr:from>
    <xdr:to>
      <xdr:col>10</xdr:col>
      <xdr:colOff>514350</xdr:colOff>
      <xdr:row>1406</xdr:row>
      <xdr:rowOff>476250</xdr:rowOff>
    </xdr:to>
    <xdr:pic>
      <xdr:nvPicPr>
        <xdr:cNvPr id="64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86697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1406</xdr:row>
      <xdr:rowOff>279400</xdr:rowOff>
    </xdr:from>
    <xdr:to>
      <xdr:col>3</xdr:col>
      <xdr:colOff>196850</xdr:colOff>
      <xdr:row>1406</xdr:row>
      <xdr:rowOff>498475</xdr:rowOff>
    </xdr:to>
    <xdr:pic>
      <xdr:nvPicPr>
        <xdr:cNvPr id="64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867199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1406</xdr:row>
      <xdr:rowOff>257175</xdr:rowOff>
    </xdr:from>
    <xdr:to>
      <xdr:col>3</xdr:col>
      <xdr:colOff>514350</xdr:colOff>
      <xdr:row>1406</xdr:row>
      <xdr:rowOff>476250</xdr:rowOff>
    </xdr:to>
    <xdr:pic>
      <xdr:nvPicPr>
        <xdr:cNvPr id="64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866977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1416</xdr:row>
      <xdr:rowOff>279400</xdr:rowOff>
    </xdr:from>
    <xdr:to>
      <xdr:col>10</xdr:col>
      <xdr:colOff>196850</xdr:colOff>
      <xdr:row>1416</xdr:row>
      <xdr:rowOff>498475</xdr:rowOff>
    </xdr:to>
    <xdr:pic>
      <xdr:nvPicPr>
        <xdr:cNvPr id="64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094673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1416</xdr:row>
      <xdr:rowOff>257175</xdr:rowOff>
    </xdr:from>
    <xdr:to>
      <xdr:col>10</xdr:col>
      <xdr:colOff>514350</xdr:colOff>
      <xdr:row>1416</xdr:row>
      <xdr:rowOff>476250</xdr:rowOff>
    </xdr:to>
    <xdr:pic>
      <xdr:nvPicPr>
        <xdr:cNvPr id="64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09465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1416</xdr:row>
      <xdr:rowOff>279400</xdr:rowOff>
    </xdr:from>
    <xdr:to>
      <xdr:col>3</xdr:col>
      <xdr:colOff>196850</xdr:colOff>
      <xdr:row>1416</xdr:row>
      <xdr:rowOff>498475</xdr:rowOff>
    </xdr:to>
    <xdr:pic>
      <xdr:nvPicPr>
        <xdr:cNvPr id="64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0946733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1416</xdr:row>
      <xdr:rowOff>257175</xdr:rowOff>
    </xdr:from>
    <xdr:to>
      <xdr:col>3</xdr:col>
      <xdr:colOff>514350</xdr:colOff>
      <xdr:row>1416</xdr:row>
      <xdr:rowOff>476250</xdr:rowOff>
    </xdr:to>
    <xdr:pic>
      <xdr:nvPicPr>
        <xdr:cNvPr id="64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0946511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1423</xdr:row>
      <xdr:rowOff>279400</xdr:rowOff>
    </xdr:from>
    <xdr:to>
      <xdr:col>10</xdr:col>
      <xdr:colOff>196850</xdr:colOff>
      <xdr:row>1423</xdr:row>
      <xdr:rowOff>498475</xdr:rowOff>
    </xdr:to>
    <xdr:pic>
      <xdr:nvPicPr>
        <xdr:cNvPr id="64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015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1423</xdr:row>
      <xdr:rowOff>257175</xdr:rowOff>
    </xdr:from>
    <xdr:to>
      <xdr:col>10</xdr:col>
      <xdr:colOff>514350</xdr:colOff>
      <xdr:row>1423</xdr:row>
      <xdr:rowOff>476250</xdr:rowOff>
    </xdr:to>
    <xdr:pic>
      <xdr:nvPicPr>
        <xdr:cNvPr id="64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00137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1423</xdr:row>
      <xdr:rowOff>279400</xdr:rowOff>
    </xdr:from>
    <xdr:to>
      <xdr:col>3</xdr:col>
      <xdr:colOff>196850</xdr:colOff>
      <xdr:row>1423</xdr:row>
      <xdr:rowOff>498475</xdr:rowOff>
    </xdr:to>
    <xdr:pic>
      <xdr:nvPicPr>
        <xdr:cNvPr id="64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01597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1423</xdr:row>
      <xdr:rowOff>257175</xdr:rowOff>
    </xdr:from>
    <xdr:to>
      <xdr:col>3</xdr:col>
      <xdr:colOff>514350</xdr:colOff>
      <xdr:row>1423</xdr:row>
      <xdr:rowOff>476250</xdr:rowOff>
    </xdr:to>
    <xdr:pic>
      <xdr:nvPicPr>
        <xdr:cNvPr id="64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01375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1430</xdr:row>
      <xdr:rowOff>279400</xdr:rowOff>
    </xdr:from>
    <xdr:to>
      <xdr:col>10</xdr:col>
      <xdr:colOff>196850</xdr:colOff>
      <xdr:row>1430</xdr:row>
      <xdr:rowOff>498475</xdr:rowOff>
    </xdr:to>
    <xdr:pic>
      <xdr:nvPicPr>
        <xdr:cNvPr id="64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5808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1430</xdr:row>
      <xdr:rowOff>257175</xdr:rowOff>
    </xdr:from>
    <xdr:to>
      <xdr:col>10</xdr:col>
      <xdr:colOff>514350</xdr:colOff>
      <xdr:row>1430</xdr:row>
      <xdr:rowOff>476250</xdr:rowOff>
    </xdr:to>
    <xdr:pic>
      <xdr:nvPicPr>
        <xdr:cNvPr id="64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05785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1430</xdr:row>
      <xdr:rowOff>279400</xdr:rowOff>
    </xdr:from>
    <xdr:to>
      <xdr:col>3</xdr:col>
      <xdr:colOff>196850</xdr:colOff>
      <xdr:row>1430</xdr:row>
      <xdr:rowOff>498475</xdr:rowOff>
    </xdr:to>
    <xdr:pic>
      <xdr:nvPicPr>
        <xdr:cNvPr id="64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5808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1430</xdr:row>
      <xdr:rowOff>257175</xdr:rowOff>
    </xdr:from>
    <xdr:to>
      <xdr:col>3</xdr:col>
      <xdr:colOff>514350</xdr:colOff>
      <xdr:row>1430</xdr:row>
      <xdr:rowOff>476250</xdr:rowOff>
    </xdr:to>
    <xdr:pic>
      <xdr:nvPicPr>
        <xdr:cNvPr id="64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5785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1434</xdr:row>
      <xdr:rowOff>279400</xdr:rowOff>
    </xdr:from>
    <xdr:to>
      <xdr:col>10</xdr:col>
      <xdr:colOff>196850</xdr:colOff>
      <xdr:row>1434</xdr:row>
      <xdr:rowOff>498475</xdr:rowOff>
    </xdr:to>
    <xdr:pic>
      <xdr:nvPicPr>
        <xdr:cNvPr id="64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1108227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1434</xdr:row>
      <xdr:rowOff>257175</xdr:rowOff>
    </xdr:from>
    <xdr:to>
      <xdr:col>10</xdr:col>
      <xdr:colOff>514350</xdr:colOff>
      <xdr:row>1434</xdr:row>
      <xdr:rowOff>476250</xdr:rowOff>
    </xdr:to>
    <xdr:pic>
      <xdr:nvPicPr>
        <xdr:cNvPr id="64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1108205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1434</xdr:row>
      <xdr:rowOff>279400</xdr:rowOff>
    </xdr:from>
    <xdr:to>
      <xdr:col>3</xdr:col>
      <xdr:colOff>196850</xdr:colOff>
      <xdr:row>1434</xdr:row>
      <xdr:rowOff>498475</xdr:rowOff>
    </xdr:to>
    <xdr:pic>
      <xdr:nvPicPr>
        <xdr:cNvPr id="64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11082274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1434</xdr:row>
      <xdr:rowOff>257175</xdr:rowOff>
    </xdr:from>
    <xdr:to>
      <xdr:col>3</xdr:col>
      <xdr:colOff>514350</xdr:colOff>
      <xdr:row>1434</xdr:row>
      <xdr:rowOff>476250</xdr:rowOff>
    </xdr:to>
    <xdr:pic>
      <xdr:nvPicPr>
        <xdr:cNvPr id="64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11082051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562</xdr:row>
      <xdr:rowOff>279400</xdr:rowOff>
    </xdr:from>
    <xdr:to>
      <xdr:col>10</xdr:col>
      <xdr:colOff>196850</xdr:colOff>
      <xdr:row>562</xdr:row>
      <xdr:rowOff>498475</xdr:rowOff>
    </xdr:to>
    <xdr:pic>
      <xdr:nvPicPr>
        <xdr:cNvPr id="64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2261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562</xdr:row>
      <xdr:rowOff>257175</xdr:rowOff>
    </xdr:from>
    <xdr:to>
      <xdr:col>10</xdr:col>
      <xdr:colOff>514350</xdr:colOff>
      <xdr:row>562</xdr:row>
      <xdr:rowOff>476250</xdr:rowOff>
    </xdr:to>
    <xdr:pic>
      <xdr:nvPicPr>
        <xdr:cNvPr id="64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2259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562</xdr:row>
      <xdr:rowOff>279400</xdr:rowOff>
    </xdr:from>
    <xdr:to>
      <xdr:col>3</xdr:col>
      <xdr:colOff>196850</xdr:colOff>
      <xdr:row>562</xdr:row>
      <xdr:rowOff>498475</xdr:rowOff>
    </xdr:to>
    <xdr:pic>
      <xdr:nvPicPr>
        <xdr:cNvPr id="64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2261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562</xdr:row>
      <xdr:rowOff>257175</xdr:rowOff>
    </xdr:from>
    <xdr:to>
      <xdr:col>3</xdr:col>
      <xdr:colOff>514350</xdr:colOff>
      <xdr:row>562</xdr:row>
      <xdr:rowOff>476250</xdr:rowOff>
    </xdr:to>
    <xdr:pic>
      <xdr:nvPicPr>
        <xdr:cNvPr id="64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2259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569</xdr:row>
      <xdr:rowOff>279400</xdr:rowOff>
    </xdr:from>
    <xdr:to>
      <xdr:col>10</xdr:col>
      <xdr:colOff>196850</xdr:colOff>
      <xdr:row>569</xdr:row>
      <xdr:rowOff>498475</xdr:rowOff>
    </xdr:to>
    <xdr:pic>
      <xdr:nvPicPr>
        <xdr:cNvPr id="64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2844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569</xdr:row>
      <xdr:rowOff>257175</xdr:rowOff>
    </xdr:from>
    <xdr:to>
      <xdr:col>10</xdr:col>
      <xdr:colOff>514350</xdr:colOff>
      <xdr:row>569</xdr:row>
      <xdr:rowOff>476250</xdr:rowOff>
    </xdr:to>
    <xdr:pic>
      <xdr:nvPicPr>
        <xdr:cNvPr id="64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28424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569</xdr:row>
      <xdr:rowOff>279400</xdr:rowOff>
    </xdr:from>
    <xdr:to>
      <xdr:col>3</xdr:col>
      <xdr:colOff>196850</xdr:colOff>
      <xdr:row>569</xdr:row>
      <xdr:rowOff>498475</xdr:rowOff>
    </xdr:to>
    <xdr:pic>
      <xdr:nvPicPr>
        <xdr:cNvPr id="64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2844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569</xdr:row>
      <xdr:rowOff>257175</xdr:rowOff>
    </xdr:from>
    <xdr:to>
      <xdr:col>3</xdr:col>
      <xdr:colOff>514350</xdr:colOff>
      <xdr:row>569</xdr:row>
      <xdr:rowOff>476250</xdr:rowOff>
    </xdr:to>
    <xdr:pic>
      <xdr:nvPicPr>
        <xdr:cNvPr id="64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284249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576</xdr:row>
      <xdr:rowOff>279400</xdr:rowOff>
    </xdr:from>
    <xdr:to>
      <xdr:col>10</xdr:col>
      <xdr:colOff>196850</xdr:colOff>
      <xdr:row>576</xdr:row>
      <xdr:rowOff>498475</xdr:rowOff>
    </xdr:to>
    <xdr:pic>
      <xdr:nvPicPr>
        <xdr:cNvPr id="64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34486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576</xdr:row>
      <xdr:rowOff>257175</xdr:rowOff>
    </xdr:from>
    <xdr:to>
      <xdr:col>10</xdr:col>
      <xdr:colOff>514350</xdr:colOff>
      <xdr:row>576</xdr:row>
      <xdr:rowOff>476250</xdr:rowOff>
    </xdr:to>
    <xdr:pic>
      <xdr:nvPicPr>
        <xdr:cNvPr id="64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34463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576</xdr:row>
      <xdr:rowOff>279400</xdr:rowOff>
    </xdr:from>
    <xdr:to>
      <xdr:col>3</xdr:col>
      <xdr:colOff>196850</xdr:colOff>
      <xdr:row>576</xdr:row>
      <xdr:rowOff>498475</xdr:rowOff>
    </xdr:to>
    <xdr:pic>
      <xdr:nvPicPr>
        <xdr:cNvPr id="64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34486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576</xdr:row>
      <xdr:rowOff>257175</xdr:rowOff>
    </xdr:from>
    <xdr:to>
      <xdr:col>3</xdr:col>
      <xdr:colOff>514350</xdr:colOff>
      <xdr:row>576</xdr:row>
      <xdr:rowOff>476250</xdr:rowOff>
    </xdr:to>
    <xdr:pic>
      <xdr:nvPicPr>
        <xdr:cNvPr id="64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34463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580</xdr:row>
      <xdr:rowOff>279400</xdr:rowOff>
    </xdr:from>
    <xdr:to>
      <xdr:col>10</xdr:col>
      <xdr:colOff>196850</xdr:colOff>
      <xdr:row>580</xdr:row>
      <xdr:rowOff>498475</xdr:rowOff>
    </xdr:to>
    <xdr:pic>
      <xdr:nvPicPr>
        <xdr:cNvPr id="65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437705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580</xdr:row>
      <xdr:rowOff>257175</xdr:rowOff>
    </xdr:from>
    <xdr:to>
      <xdr:col>10</xdr:col>
      <xdr:colOff>514350</xdr:colOff>
      <xdr:row>580</xdr:row>
      <xdr:rowOff>476250</xdr:rowOff>
    </xdr:to>
    <xdr:pic>
      <xdr:nvPicPr>
        <xdr:cNvPr id="65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43768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580</xdr:row>
      <xdr:rowOff>279400</xdr:rowOff>
    </xdr:from>
    <xdr:to>
      <xdr:col>3</xdr:col>
      <xdr:colOff>196850</xdr:colOff>
      <xdr:row>580</xdr:row>
      <xdr:rowOff>498475</xdr:rowOff>
    </xdr:to>
    <xdr:pic>
      <xdr:nvPicPr>
        <xdr:cNvPr id="65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437705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580</xdr:row>
      <xdr:rowOff>257175</xdr:rowOff>
    </xdr:from>
    <xdr:to>
      <xdr:col>3</xdr:col>
      <xdr:colOff>514350</xdr:colOff>
      <xdr:row>580</xdr:row>
      <xdr:rowOff>476250</xdr:rowOff>
    </xdr:to>
    <xdr:pic>
      <xdr:nvPicPr>
        <xdr:cNvPr id="65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437683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980</xdr:row>
      <xdr:rowOff>279400</xdr:rowOff>
    </xdr:from>
    <xdr:to>
      <xdr:col>3</xdr:col>
      <xdr:colOff>196850</xdr:colOff>
      <xdr:row>980</xdr:row>
      <xdr:rowOff>498475</xdr:rowOff>
    </xdr:to>
    <xdr:pic>
      <xdr:nvPicPr>
        <xdr:cNvPr id="65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7540879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980</xdr:row>
      <xdr:rowOff>257175</xdr:rowOff>
    </xdr:from>
    <xdr:to>
      <xdr:col>3</xdr:col>
      <xdr:colOff>514350</xdr:colOff>
      <xdr:row>980</xdr:row>
      <xdr:rowOff>476250</xdr:rowOff>
    </xdr:to>
    <xdr:pic>
      <xdr:nvPicPr>
        <xdr:cNvPr id="65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7540656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1070</xdr:row>
      <xdr:rowOff>279400</xdr:rowOff>
    </xdr:from>
    <xdr:to>
      <xdr:col>3</xdr:col>
      <xdr:colOff>196850</xdr:colOff>
      <xdr:row>1070</xdr:row>
      <xdr:rowOff>498475</xdr:rowOff>
    </xdr:to>
    <xdr:pic>
      <xdr:nvPicPr>
        <xdr:cNvPr id="65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8232965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1070</xdr:row>
      <xdr:rowOff>257175</xdr:rowOff>
    </xdr:from>
    <xdr:to>
      <xdr:col>3</xdr:col>
      <xdr:colOff>514350</xdr:colOff>
      <xdr:row>1070</xdr:row>
      <xdr:rowOff>476250</xdr:rowOff>
    </xdr:to>
    <xdr:pic>
      <xdr:nvPicPr>
        <xdr:cNvPr id="65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8232743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65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65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65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65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65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65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346</xdr:row>
      <xdr:rowOff>279400</xdr:rowOff>
    </xdr:from>
    <xdr:to>
      <xdr:col>10</xdr:col>
      <xdr:colOff>196850</xdr:colOff>
      <xdr:row>346</xdr:row>
      <xdr:rowOff>498475</xdr:rowOff>
    </xdr:to>
    <xdr:pic>
      <xdr:nvPicPr>
        <xdr:cNvPr id="65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258454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346</xdr:row>
      <xdr:rowOff>257175</xdr:rowOff>
    </xdr:from>
    <xdr:to>
      <xdr:col>10</xdr:col>
      <xdr:colOff>514350</xdr:colOff>
      <xdr:row>346</xdr:row>
      <xdr:rowOff>476250</xdr:rowOff>
    </xdr:to>
    <xdr:pic>
      <xdr:nvPicPr>
        <xdr:cNvPr id="65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258432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1294</xdr:row>
      <xdr:rowOff>279400</xdr:rowOff>
    </xdr:from>
    <xdr:to>
      <xdr:col>10</xdr:col>
      <xdr:colOff>196850</xdr:colOff>
      <xdr:row>1294</xdr:row>
      <xdr:rowOff>498475</xdr:rowOff>
    </xdr:to>
    <xdr:pic>
      <xdr:nvPicPr>
        <xdr:cNvPr id="65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055975" y="99939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1294</xdr:row>
      <xdr:rowOff>257175</xdr:rowOff>
    </xdr:from>
    <xdr:to>
      <xdr:col>10</xdr:col>
      <xdr:colOff>514350</xdr:colOff>
      <xdr:row>1294</xdr:row>
      <xdr:rowOff>476250</xdr:rowOff>
    </xdr:to>
    <xdr:pic>
      <xdr:nvPicPr>
        <xdr:cNvPr id="65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344900" y="99937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1294</xdr:row>
      <xdr:rowOff>279400</xdr:rowOff>
    </xdr:from>
    <xdr:to>
      <xdr:col>3</xdr:col>
      <xdr:colOff>196850</xdr:colOff>
      <xdr:row>1294</xdr:row>
      <xdr:rowOff>498475</xdr:rowOff>
    </xdr:to>
    <xdr:pic>
      <xdr:nvPicPr>
        <xdr:cNvPr id="65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06800" y="9993947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1294</xdr:row>
      <xdr:rowOff>257175</xdr:rowOff>
    </xdr:from>
    <xdr:to>
      <xdr:col>3</xdr:col>
      <xdr:colOff>514350</xdr:colOff>
      <xdr:row>1294</xdr:row>
      <xdr:rowOff>476250</xdr:rowOff>
    </xdr:to>
    <xdr:pic>
      <xdr:nvPicPr>
        <xdr:cNvPr id="65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95725" y="999372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1352550</xdr:colOff>
      <xdr:row>18</xdr:row>
      <xdr:rowOff>228600</xdr:rowOff>
    </xdr:from>
    <xdr:to>
      <xdr:col>2</xdr:col>
      <xdr:colOff>1543050</xdr:colOff>
      <xdr:row>18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0772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10577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1390650</xdr:colOff>
      <xdr:row>18</xdr:row>
      <xdr:rowOff>228600</xdr:rowOff>
    </xdr:from>
    <xdr:to>
      <xdr:col>2</xdr:col>
      <xdr:colOff>1581150</xdr:colOff>
      <xdr:row>19</xdr:row>
      <xdr:rowOff>0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07720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10577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1352550</xdr:colOff>
      <xdr:row>18</xdr:row>
      <xdr:rowOff>228600</xdr:rowOff>
    </xdr:from>
    <xdr:to>
      <xdr:col>2</xdr:col>
      <xdr:colOff>1543050</xdr:colOff>
      <xdr:row>18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8550" y="80772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1971675</xdr:colOff>
      <xdr:row>18</xdr:row>
      <xdr:rowOff>257175</xdr:rowOff>
    </xdr:from>
    <xdr:to>
      <xdr:col>2</xdr:col>
      <xdr:colOff>2190750</xdr:colOff>
      <xdr:row>18</xdr:row>
      <xdr:rowOff>476250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38550" y="8105775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294</xdr:row>
      <xdr:rowOff>0</xdr:rowOff>
    </xdr:from>
    <xdr:to>
      <xdr:col>3</xdr:col>
      <xdr:colOff>196850</xdr:colOff>
      <xdr:row>294</xdr:row>
      <xdr:rowOff>0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44068600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71</xdr:row>
      <xdr:rowOff>279400</xdr:rowOff>
    </xdr:from>
    <xdr:to>
      <xdr:col>3</xdr:col>
      <xdr:colOff>196850</xdr:colOff>
      <xdr:row>71</xdr:row>
      <xdr:rowOff>498475</xdr:rowOff>
    </xdr:to>
    <xdr:pic>
      <xdr:nvPicPr>
        <xdr:cNvPr id="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43199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71</xdr:row>
      <xdr:rowOff>257175</xdr:rowOff>
    </xdr:from>
    <xdr:to>
      <xdr:col>3</xdr:col>
      <xdr:colOff>514350</xdr:colOff>
      <xdr:row>71</xdr:row>
      <xdr:rowOff>476250</xdr:rowOff>
    </xdr:to>
    <xdr:pic>
      <xdr:nvPicPr>
        <xdr:cNvPr id="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43176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119</xdr:row>
      <xdr:rowOff>279400</xdr:rowOff>
    </xdr:from>
    <xdr:to>
      <xdr:col>3</xdr:col>
      <xdr:colOff>196850</xdr:colOff>
      <xdr:row>119</xdr:row>
      <xdr:rowOff>498475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7409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119</xdr:row>
      <xdr:rowOff>257175</xdr:rowOff>
    </xdr:from>
    <xdr:to>
      <xdr:col>3</xdr:col>
      <xdr:colOff>514350</xdr:colOff>
      <xdr:row>119</xdr:row>
      <xdr:rowOff>476250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7407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165</xdr:row>
      <xdr:rowOff>279400</xdr:rowOff>
    </xdr:from>
    <xdr:to>
      <xdr:col>3</xdr:col>
      <xdr:colOff>196850</xdr:colOff>
      <xdr:row>165</xdr:row>
      <xdr:rowOff>498475</xdr:rowOff>
    </xdr:to>
    <xdr:pic>
      <xdr:nvPicPr>
        <xdr:cNvPr id="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203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165</xdr:row>
      <xdr:rowOff>257175</xdr:rowOff>
    </xdr:from>
    <xdr:to>
      <xdr:col>3</xdr:col>
      <xdr:colOff>514350</xdr:colOff>
      <xdr:row>165</xdr:row>
      <xdr:rowOff>476250</xdr:rowOff>
    </xdr:to>
    <xdr:pic>
      <xdr:nvPicPr>
        <xdr:cNvPr id="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20281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194</xdr:row>
      <xdr:rowOff>279400</xdr:rowOff>
    </xdr:from>
    <xdr:to>
      <xdr:col>3</xdr:col>
      <xdr:colOff>196850</xdr:colOff>
      <xdr:row>194</xdr:row>
      <xdr:rowOff>498475</xdr:rowOff>
    </xdr:to>
    <xdr:pic>
      <xdr:nvPicPr>
        <xdr:cNvPr id="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47840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194</xdr:row>
      <xdr:rowOff>257175</xdr:rowOff>
    </xdr:from>
    <xdr:to>
      <xdr:col>3</xdr:col>
      <xdr:colOff>514350</xdr:colOff>
      <xdr:row>194</xdr:row>
      <xdr:rowOff>476250</xdr:rowOff>
    </xdr:to>
    <xdr:pic>
      <xdr:nvPicPr>
        <xdr:cNvPr id="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4781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227</xdr:row>
      <xdr:rowOff>279400</xdr:rowOff>
    </xdr:from>
    <xdr:to>
      <xdr:col>3</xdr:col>
      <xdr:colOff>196850</xdr:colOff>
      <xdr:row>227</xdr:row>
      <xdr:rowOff>498475</xdr:rowOff>
    </xdr:to>
    <xdr:pic>
      <xdr:nvPicPr>
        <xdr:cNvPr id="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18175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227</xdr:row>
      <xdr:rowOff>257175</xdr:rowOff>
    </xdr:from>
    <xdr:to>
      <xdr:col>3</xdr:col>
      <xdr:colOff>514350</xdr:colOff>
      <xdr:row>227</xdr:row>
      <xdr:rowOff>476250</xdr:rowOff>
    </xdr:to>
    <xdr:pic>
      <xdr:nvPicPr>
        <xdr:cNvPr id="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18173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268</xdr:row>
      <xdr:rowOff>279400</xdr:rowOff>
    </xdr:from>
    <xdr:to>
      <xdr:col>3</xdr:col>
      <xdr:colOff>196850</xdr:colOff>
      <xdr:row>268</xdr:row>
      <xdr:rowOff>498475</xdr:rowOff>
    </xdr:to>
    <xdr:pic>
      <xdr:nvPicPr>
        <xdr:cNvPr id="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2091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268</xdr:row>
      <xdr:rowOff>257175</xdr:rowOff>
    </xdr:from>
    <xdr:to>
      <xdr:col>3</xdr:col>
      <xdr:colOff>514350</xdr:colOff>
      <xdr:row>268</xdr:row>
      <xdr:rowOff>476250</xdr:rowOff>
    </xdr:to>
    <xdr:pic>
      <xdr:nvPicPr>
        <xdr:cNvPr id="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220894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293</xdr:row>
      <xdr:rowOff>279400</xdr:rowOff>
    </xdr:from>
    <xdr:to>
      <xdr:col>3</xdr:col>
      <xdr:colOff>196850</xdr:colOff>
      <xdr:row>293</xdr:row>
      <xdr:rowOff>498475</xdr:rowOff>
    </xdr:to>
    <xdr:pic>
      <xdr:nvPicPr>
        <xdr:cNvPr id="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24378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293</xdr:row>
      <xdr:rowOff>257175</xdr:rowOff>
    </xdr:from>
    <xdr:to>
      <xdr:col>3</xdr:col>
      <xdr:colOff>514350</xdr:colOff>
      <xdr:row>293</xdr:row>
      <xdr:rowOff>476250</xdr:rowOff>
    </xdr:to>
    <xdr:pic>
      <xdr:nvPicPr>
        <xdr:cNvPr id="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24376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71</xdr:row>
      <xdr:rowOff>279400</xdr:rowOff>
    </xdr:from>
    <xdr:to>
      <xdr:col>10</xdr:col>
      <xdr:colOff>196850</xdr:colOff>
      <xdr:row>71</xdr:row>
      <xdr:rowOff>498475</xdr:rowOff>
    </xdr:to>
    <xdr:pic>
      <xdr:nvPicPr>
        <xdr:cNvPr id="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431990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71</xdr:row>
      <xdr:rowOff>257175</xdr:rowOff>
    </xdr:from>
    <xdr:to>
      <xdr:col>10</xdr:col>
      <xdr:colOff>514350</xdr:colOff>
      <xdr:row>71</xdr:row>
      <xdr:rowOff>476250</xdr:rowOff>
    </xdr:to>
    <xdr:pic>
      <xdr:nvPicPr>
        <xdr:cNvPr id="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43176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119</xdr:row>
      <xdr:rowOff>279400</xdr:rowOff>
    </xdr:from>
    <xdr:to>
      <xdr:col>10</xdr:col>
      <xdr:colOff>196850</xdr:colOff>
      <xdr:row>119</xdr:row>
      <xdr:rowOff>498475</xdr:rowOff>
    </xdr:to>
    <xdr:pic>
      <xdr:nvPicPr>
        <xdr:cNvPr id="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740981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119</xdr:row>
      <xdr:rowOff>257175</xdr:rowOff>
    </xdr:from>
    <xdr:to>
      <xdr:col>10</xdr:col>
      <xdr:colOff>514350</xdr:colOff>
      <xdr:row>119</xdr:row>
      <xdr:rowOff>476250</xdr:rowOff>
    </xdr:to>
    <xdr:pic>
      <xdr:nvPicPr>
        <xdr:cNvPr id="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740759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165</xdr:row>
      <xdr:rowOff>279400</xdr:rowOff>
    </xdr:from>
    <xdr:to>
      <xdr:col>10</xdr:col>
      <xdr:colOff>196850</xdr:colOff>
      <xdr:row>165</xdr:row>
      <xdr:rowOff>498475</xdr:rowOff>
    </xdr:to>
    <xdr:pic>
      <xdr:nvPicPr>
        <xdr:cNvPr id="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20303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165</xdr:row>
      <xdr:rowOff>257175</xdr:rowOff>
    </xdr:from>
    <xdr:to>
      <xdr:col>10</xdr:col>
      <xdr:colOff>514350</xdr:colOff>
      <xdr:row>165</xdr:row>
      <xdr:rowOff>476250</xdr:rowOff>
    </xdr:to>
    <xdr:pic>
      <xdr:nvPicPr>
        <xdr:cNvPr id="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20281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194</xdr:row>
      <xdr:rowOff>279400</xdr:rowOff>
    </xdr:from>
    <xdr:to>
      <xdr:col>10</xdr:col>
      <xdr:colOff>196850</xdr:colOff>
      <xdr:row>194</xdr:row>
      <xdr:rowOff>498475</xdr:rowOff>
    </xdr:to>
    <xdr:pic>
      <xdr:nvPicPr>
        <xdr:cNvPr id="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478407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194</xdr:row>
      <xdr:rowOff>257175</xdr:rowOff>
    </xdr:from>
    <xdr:to>
      <xdr:col>10</xdr:col>
      <xdr:colOff>514350</xdr:colOff>
      <xdr:row>194</xdr:row>
      <xdr:rowOff>476250</xdr:rowOff>
    </xdr:to>
    <xdr:pic>
      <xdr:nvPicPr>
        <xdr:cNvPr id="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478184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227</xdr:row>
      <xdr:rowOff>279400</xdr:rowOff>
    </xdr:from>
    <xdr:to>
      <xdr:col>10</xdr:col>
      <xdr:colOff>196850</xdr:colOff>
      <xdr:row>227</xdr:row>
      <xdr:rowOff>498475</xdr:rowOff>
    </xdr:to>
    <xdr:pic>
      <xdr:nvPicPr>
        <xdr:cNvPr id="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1817592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227</xdr:row>
      <xdr:rowOff>257175</xdr:rowOff>
    </xdr:from>
    <xdr:to>
      <xdr:col>10</xdr:col>
      <xdr:colOff>514350</xdr:colOff>
      <xdr:row>227</xdr:row>
      <xdr:rowOff>476250</xdr:rowOff>
    </xdr:to>
    <xdr:pic>
      <xdr:nvPicPr>
        <xdr:cNvPr id="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181737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268</xdr:row>
      <xdr:rowOff>279400</xdr:rowOff>
    </xdr:from>
    <xdr:to>
      <xdr:col>10</xdr:col>
      <xdr:colOff>196850</xdr:colOff>
      <xdr:row>268</xdr:row>
      <xdr:rowOff>498475</xdr:rowOff>
    </xdr:to>
    <xdr:pic>
      <xdr:nvPicPr>
        <xdr:cNvPr id="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2209165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268</xdr:row>
      <xdr:rowOff>257175</xdr:rowOff>
    </xdr:from>
    <xdr:to>
      <xdr:col>10</xdr:col>
      <xdr:colOff>514350</xdr:colOff>
      <xdr:row>268</xdr:row>
      <xdr:rowOff>476250</xdr:rowOff>
    </xdr:to>
    <xdr:pic>
      <xdr:nvPicPr>
        <xdr:cNvPr id="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220894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293</xdr:row>
      <xdr:rowOff>279400</xdr:rowOff>
    </xdr:from>
    <xdr:to>
      <xdr:col>10</xdr:col>
      <xdr:colOff>196850</xdr:colOff>
      <xdr:row>293</xdr:row>
      <xdr:rowOff>498475</xdr:rowOff>
    </xdr:to>
    <xdr:pic>
      <xdr:nvPicPr>
        <xdr:cNvPr id="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2437860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293</xdr:row>
      <xdr:rowOff>257175</xdr:rowOff>
    </xdr:from>
    <xdr:to>
      <xdr:col>10</xdr:col>
      <xdr:colOff>514350</xdr:colOff>
      <xdr:row>293</xdr:row>
      <xdr:rowOff>476250</xdr:rowOff>
    </xdr:to>
    <xdr:pic>
      <xdr:nvPicPr>
        <xdr:cNvPr id="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2437638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5461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5464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5461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5464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5461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5464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5461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5464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5461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5464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59</xdr:row>
      <xdr:rowOff>228600</xdr:rowOff>
    </xdr:from>
    <xdr:to>
      <xdr:col>3</xdr:col>
      <xdr:colOff>260350</xdr:colOff>
      <xdr:row>59</xdr:row>
      <xdr:rowOff>447675</xdr:rowOff>
    </xdr:to>
    <xdr:pic>
      <xdr:nvPicPr>
        <xdr:cNvPr id="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5461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59</xdr:row>
      <xdr:rowOff>231775</xdr:rowOff>
    </xdr:from>
    <xdr:to>
      <xdr:col>3</xdr:col>
      <xdr:colOff>539750</xdr:colOff>
      <xdr:row>59</xdr:row>
      <xdr:rowOff>450850</xdr:rowOff>
    </xdr:to>
    <xdr:pic>
      <xdr:nvPicPr>
        <xdr:cNvPr id="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5464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59</xdr:row>
      <xdr:rowOff>228600</xdr:rowOff>
    </xdr:from>
    <xdr:to>
      <xdr:col>10</xdr:col>
      <xdr:colOff>260350</xdr:colOff>
      <xdr:row>59</xdr:row>
      <xdr:rowOff>447675</xdr:rowOff>
    </xdr:to>
    <xdr:pic>
      <xdr:nvPicPr>
        <xdr:cNvPr id="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5461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59</xdr:row>
      <xdr:rowOff>231775</xdr:rowOff>
    </xdr:from>
    <xdr:to>
      <xdr:col>10</xdr:col>
      <xdr:colOff>539750</xdr:colOff>
      <xdr:row>59</xdr:row>
      <xdr:rowOff>450850</xdr:rowOff>
    </xdr:to>
    <xdr:pic>
      <xdr:nvPicPr>
        <xdr:cNvPr id="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5464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</xdr:row>
      <xdr:rowOff>228600</xdr:rowOff>
    </xdr:from>
    <xdr:to>
      <xdr:col>3</xdr:col>
      <xdr:colOff>260350</xdr:colOff>
      <xdr:row>14</xdr:row>
      <xdr:rowOff>447675</xdr:rowOff>
    </xdr:to>
    <xdr:pic>
      <xdr:nvPicPr>
        <xdr:cNvPr id="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676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</xdr:row>
      <xdr:rowOff>231775</xdr:rowOff>
    </xdr:from>
    <xdr:to>
      <xdr:col>3</xdr:col>
      <xdr:colOff>539750</xdr:colOff>
      <xdr:row>14</xdr:row>
      <xdr:rowOff>450850</xdr:rowOff>
    </xdr:to>
    <xdr:pic>
      <xdr:nvPicPr>
        <xdr:cNvPr id="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680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</xdr:row>
      <xdr:rowOff>228600</xdr:rowOff>
    </xdr:from>
    <xdr:to>
      <xdr:col>10</xdr:col>
      <xdr:colOff>260350</xdr:colOff>
      <xdr:row>14</xdr:row>
      <xdr:rowOff>447675</xdr:rowOff>
    </xdr:to>
    <xdr:pic>
      <xdr:nvPicPr>
        <xdr:cNvPr id="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676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</xdr:row>
      <xdr:rowOff>231775</xdr:rowOff>
    </xdr:from>
    <xdr:to>
      <xdr:col>10</xdr:col>
      <xdr:colOff>539750</xdr:colOff>
      <xdr:row>14</xdr:row>
      <xdr:rowOff>450850</xdr:rowOff>
    </xdr:to>
    <xdr:pic>
      <xdr:nvPicPr>
        <xdr:cNvPr id="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680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07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08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07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08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07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08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0772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0803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039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042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0394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0426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</xdr:row>
      <xdr:rowOff>228600</xdr:rowOff>
    </xdr:from>
    <xdr:to>
      <xdr:col>3</xdr:col>
      <xdr:colOff>260350</xdr:colOff>
      <xdr:row>25</xdr:row>
      <xdr:rowOff>447675</xdr:rowOff>
    </xdr:to>
    <xdr:pic>
      <xdr:nvPicPr>
        <xdr:cNvPr id="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982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</xdr:row>
      <xdr:rowOff>231775</xdr:rowOff>
    </xdr:from>
    <xdr:to>
      <xdr:col>3</xdr:col>
      <xdr:colOff>539750</xdr:colOff>
      <xdr:row>25</xdr:row>
      <xdr:rowOff>450850</xdr:rowOff>
    </xdr:to>
    <xdr:pic>
      <xdr:nvPicPr>
        <xdr:cNvPr id="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985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</xdr:row>
      <xdr:rowOff>228600</xdr:rowOff>
    </xdr:from>
    <xdr:to>
      <xdr:col>10</xdr:col>
      <xdr:colOff>260350</xdr:colOff>
      <xdr:row>25</xdr:row>
      <xdr:rowOff>447675</xdr:rowOff>
    </xdr:to>
    <xdr:pic>
      <xdr:nvPicPr>
        <xdr:cNvPr id="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982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</xdr:row>
      <xdr:rowOff>231775</xdr:rowOff>
    </xdr:from>
    <xdr:to>
      <xdr:col>10</xdr:col>
      <xdr:colOff>539750</xdr:colOff>
      <xdr:row>25</xdr:row>
      <xdr:rowOff>450850</xdr:rowOff>
    </xdr:to>
    <xdr:pic>
      <xdr:nvPicPr>
        <xdr:cNvPr id="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985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</xdr:row>
      <xdr:rowOff>228600</xdr:rowOff>
    </xdr:from>
    <xdr:to>
      <xdr:col>3</xdr:col>
      <xdr:colOff>260350</xdr:colOff>
      <xdr:row>28</xdr:row>
      <xdr:rowOff>447675</xdr:rowOff>
    </xdr:to>
    <xdr:pic>
      <xdr:nvPicPr>
        <xdr:cNvPr id="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525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</xdr:row>
      <xdr:rowOff>231775</xdr:rowOff>
    </xdr:from>
    <xdr:to>
      <xdr:col>3</xdr:col>
      <xdr:colOff>539750</xdr:colOff>
      <xdr:row>28</xdr:row>
      <xdr:rowOff>450850</xdr:rowOff>
    </xdr:to>
    <xdr:pic>
      <xdr:nvPicPr>
        <xdr:cNvPr id="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528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</xdr:row>
      <xdr:rowOff>228600</xdr:rowOff>
    </xdr:from>
    <xdr:to>
      <xdr:col>10</xdr:col>
      <xdr:colOff>260350</xdr:colOff>
      <xdr:row>28</xdr:row>
      <xdr:rowOff>447675</xdr:rowOff>
    </xdr:to>
    <xdr:pic>
      <xdr:nvPicPr>
        <xdr:cNvPr id="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525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</xdr:row>
      <xdr:rowOff>231775</xdr:rowOff>
    </xdr:from>
    <xdr:to>
      <xdr:col>10</xdr:col>
      <xdr:colOff>539750</xdr:colOff>
      <xdr:row>28</xdr:row>
      <xdr:rowOff>450850</xdr:rowOff>
    </xdr:to>
    <xdr:pic>
      <xdr:nvPicPr>
        <xdr:cNvPr id="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528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15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157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</xdr:row>
      <xdr:rowOff>228600</xdr:rowOff>
    </xdr:from>
    <xdr:to>
      <xdr:col>3</xdr:col>
      <xdr:colOff>260350</xdr:colOff>
      <xdr:row>31</xdr:row>
      <xdr:rowOff>447675</xdr:rowOff>
    </xdr:to>
    <xdr:pic>
      <xdr:nvPicPr>
        <xdr:cNvPr id="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15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</xdr:row>
      <xdr:rowOff>231775</xdr:rowOff>
    </xdr:from>
    <xdr:to>
      <xdr:col>3</xdr:col>
      <xdr:colOff>539750</xdr:colOff>
      <xdr:row>31</xdr:row>
      <xdr:rowOff>450850</xdr:rowOff>
    </xdr:to>
    <xdr:pic>
      <xdr:nvPicPr>
        <xdr:cNvPr id="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157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</xdr:row>
      <xdr:rowOff>228600</xdr:rowOff>
    </xdr:from>
    <xdr:to>
      <xdr:col>10</xdr:col>
      <xdr:colOff>260350</xdr:colOff>
      <xdr:row>31</xdr:row>
      <xdr:rowOff>447675</xdr:rowOff>
    </xdr:to>
    <xdr:pic>
      <xdr:nvPicPr>
        <xdr:cNvPr id="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1546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</xdr:row>
      <xdr:rowOff>231775</xdr:rowOff>
    </xdr:from>
    <xdr:to>
      <xdr:col>10</xdr:col>
      <xdr:colOff>539750</xdr:colOff>
      <xdr:row>31</xdr:row>
      <xdr:rowOff>450850</xdr:rowOff>
    </xdr:to>
    <xdr:pic>
      <xdr:nvPicPr>
        <xdr:cNvPr id="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1578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</xdr:row>
      <xdr:rowOff>228600</xdr:rowOff>
    </xdr:from>
    <xdr:to>
      <xdr:col>3</xdr:col>
      <xdr:colOff>260350</xdr:colOff>
      <xdr:row>35</xdr:row>
      <xdr:rowOff>447675</xdr:rowOff>
    </xdr:to>
    <xdr:pic>
      <xdr:nvPicPr>
        <xdr:cNvPr id="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602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</xdr:row>
      <xdr:rowOff>231775</xdr:rowOff>
    </xdr:from>
    <xdr:to>
      <xdr:col>3</xdr:col>
      <xdr:colOff>539750</xdr:colOff>
      <xdr:row>35</xdr:row>
      <xdr:rowOff>450850</xdr:rowOff>
    </xdr:to>
    <xdr:pic>
      <xdr:nvPicPr>
        <xdr:cNvPr id="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605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</xdr:row>
      <xdr:rowOff>228600</xdr:rowOff>
    </xdr:from>
    <xdr:to>
      <xdr:col>10</xdr:col>
      <xdr:colOff>260350</xdr:colOff>
      <xdr:row>35</xdr:row>
      <xdr:rowOff>447675</xdr:rowOff>
    </xdr:to>
    <xdr:pic>
      <xdr:nvPicPr>
        <xdr:cNvPr id="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6025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</xdr:row>
      <xdr:rowOff>231775</xdr:rowOff>
    </xdr:from>
    <xdr:to>
      <xdr:col>10</xdr:col>
      <xdr:colOff>539750</xdr:colOff>
      <xdr:row>35</xdr:row>
      <xdr:rowOff>450850</xdr:rowOff>
    </xdr:to>
    <xdr:pic>
      <xdr:nvPicPr>
        <xdr:cNvPr id="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6057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39</xdr:row>
      <xdr:rowOff>228600</xdr:rowOff>
    </xdr:from>
    <xdr:to>
      <xdr:col>3</xdr:col>
      <xdr:colOff>260350</xdr:colOff>
      <xdr:row>39</xdr:row>
      <xdr:rowOff>447675</xdr:rowOff>
    </xdr:to>
    <xdr:pic>
      <xdr:nvPicPr>
        <xdr:cNvPr id="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0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39</xdr:row>
      <xdr:rowOff>231775</xdr:rowOff>
    </xdr:from>
    <xdr:to>
      <xdr:col>3</xdr:col>
      <xdr:colOff>539750</xdr:colOff>
      <xdr:row>39</xdr:row>
      <xdr:rowOff>450850</xdr:rowOff>
    </xdr:to>
    <xdr:pic>
      <xdr:nvPicPr>
        <xdr:cNvPr id="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80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39</xdr:row>
      <xdr:rowOff>228600</xdr:rowOff>
    </xdr:from>
    <xdr:to>
      <xdr:col>10</xdr:col>
      <xdr:colOff>260350</xdr:colOff>
      <xdr:row>39</xdr:row>
      <xdr:rowOff>447675</xdr:rowOff>
    </xdr:to>
    <xdr:pic>
      <xdr:nvPicPr>
        <xdr:cNvPr id="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802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39</xdr:row>
      <xdr:rowOff>231775</xdr:rowOff>
    </xdr:from>
    <xdr:to>
      <xdr:col>10</xdr:col>
      <xdr:colOff>539750</xdr:colOff>
      <xdr:row>39</xdr:row>
      <xdr:rowOff>450850</xdr:rowOff>
    </xdr:to>
    <xdr:pic>
      <xdr:nvPicPr>
        <xdr:cNvPr id="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806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43</xdr:row>
      <xdr:rowOff>228600</xdr:rowOff>
    </xdr:from>
    <xdr:to>
      <xdr:col>3</xdr:col>
      <xdr:colOff>260350</xdr:colOff>
      <xdr:row>43</xdr:row>
      <xdr:rowOff>447675</xdr:rowOff>
    </xdr:to>
    <xdr:pic>
      <xdr:nvPicPr>
        <xdr:cNvPr id="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5088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43</xdr:row>
      <xdr:rowOff>231775</xdr:rowOff>
    </xdr:from>
    <xdr:to>
      <xdr:col>3</xdr:col>
      <xdr:colOff>539750</xdr:colOff>
      <xdr:row>43</xdr:row>
      <xdr:rowOff>450850</xdr:rowOff>
    </xdr:to>
    <xdr:pic>
      <xdr:nvPicPr>
        <xdr:cNvPr id="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5092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43</xdr:row>
      <xdr:rowOff>228600</xdr:rowOff>
    </xdr:from>
    <xdr:to>
      <xdr:col>10</xdr:col>
      <xdr:colOff>260350</xdr:colOff>
      <xdr:row>43</xdr:row>
      <xdr:rowOff>447675</xdr:rowOff>
    </xdr:to>
    <xdr:pic>
      <xdr:nvPicPr>
        <xdr:cNvPr id="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5088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43</xdr:row>
      <xdr:rowOff>231775</xdr:rowOff>
    </xdr:from>
    <xdr:to>
      <xdr:col>10</xdr:col>
      <xdr:colOff>539750</xdr:colOff>
      <xdr:row>43</xdr:row>
      <xdr:rowOff>450850</xdr:rowOff>
    </xdr:to>
    <xdr:pic>
      <xdr:nvPicPr>
        <xdr:cNvPr id="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5092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46</xdr:row>
      <xdr:rowOff>228600</xdr:rowOff>
    </xdr:from>
    <xdr:to>
      <xdr:col>3</xdr:col>
      <xdr:colOff>260350</xdr:colOff>
      <xdr:row>46</xdr:row>
      <xdr:rowOff>447675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6917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46</xdr:row>
      <xdr:rowOff>231775</xdr:rowOff>
    </xdr:from>
    <xdr:to>
      <xdr:col>3</xdr:col>
      <xdr:colOff>539750</xdr:colOff>
      <xdr:row>46</xdr:row>
      <xdr:rowOff>450850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6920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46</xdr:row>
      <xdr:rowOff>228600</xdr:rowOff>
    </xdr:from>
    <xdr:to>
      <xdr:col>10</xdr:col>
      <xdr:colOff>260350</xdr:colOff>
      <xdr:row>46</xdr:row>
      <xdr:rowOff>447675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6917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46</xdr:row>
      <xdr:rowOff>231775</xdr:rowOff>
    </xdr:from>
    <xdr:to>
      <xdr:col>10</xdr:col>
      <xdr:colOff>539750</xdr:colOff>
      <xdr:row>46</xdr:row>
      <xdr:rowOff>450850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6920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50</xdr:row>
      <xdr:rowOff>228600</xdr:rowOff>
    </xdr:from>
    <xdr:to>
      <xdr:col>3</xdr:col>
      <xdr:colOff>260350</xdr:colOff>
      <xdr:row>50</xdr:row>
      <xdr:rowOff>447675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93941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50</xdr:row>
      <xdr:rowOff>231775</xdr:rowOff>
    </xdr:from>
    <xdr:to>
      <xdr:col>3</xdr:col>
      <xdr:colOff>539750</xdr:colOff>
      <xdr:row>50</xdr:row>
      <xdr:rowOff>450850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93973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50</xdr:row>
      <xdr:rowOff>228600</xdr:rowOff>
    </xdr:from>
    <xdr:to>
      <xdr:col>10</xdr:col>
      <xdr:colOff>260350</xdr:colOff>
      <xdr:row>50</xdr:row>
      <xdr:rowOff>447675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93941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50</xdr:row>
      <xdr:rowOff>231775</xdr:rowOff>
    </xdr:from>
    <xdr:to>
      <xdr:col>10</xdr:col>
      <xdr:colOff>539750</xdr:colOff>
      <xdr:row>50</xdr:row>
      <xdr:rowOff>450850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93973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54</xdr:row>
      <xdr:rowOff>228600</xdr:rowOff>
    </xdr:from>
    <xdr:to>
      <xdr:col>3</xdr:col>
      <xdr:colOff>260350</xdr:colOff>
      <xdr:row>54</xdr:row>
      <xdr:rowOff>447675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2099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54</xdr:row>
      <xdr:rowOff>231775</xdr:rowOff>
    </xdr:from>
    <xdr:to>
      <xdr:col>3</xdr:col>
      <xdr:colOff>539750</xdr:colOff>
      <xdr:row>54</xdr:row>
      <xdr:rowOff>450850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210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54</xdr:row>
      <xdr:rowOff>228600</xdr:rowOff>
    </xdr:from>
    <xdr:to>
      <xdr:col>10</xdr:col>
      <xdr:colOff>260350</xdr:colOff>
      <xdr:row>54</xdr:row>
      <xdr:rowOff>447675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2099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54</xdr:row>
      <xdr:rowOff>231775</xdr:rowOff>
    </xdr:from>
    <xdr:to>
      <xdr:col>10</xdr:col>
      <xdr:colOff>539750</xdr:colOff>
      <xdr:row>54</xdr:row>
      <xdr:rowOff>450850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2102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63</xdr:row>
      <xdr:rowOff>228600</xdr:rowOff>
    </xdr:from>
    <xdr:to>
      <xdr:col>3</xdr:col>
      <xdr:colOff>260350</xdr:colOff>
      <xdr:row>63</xdr:row>
      <xdr:rowOff>447675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3840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63</xdr:row>
      <xdr:rowOff>231775</xdr:rowOff>
    </xdr:from>
    <xdr:to>
      <xdr:col>3</xdr:col>
      <xdr:colOff>539750</xdr:colOff>
      <xdr:row>63</xdr:row>
      <xdr:rowOff>450850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3840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63</xdr:row>
      <xdr:rowOff>228600</xdr:rowOff>
    </xdr:from>
    <xdr:to>
      <xdr:col>10</xdr:col>
      <xdr:colOff>260350</xdr:colOff>
      <xdr:row>63</xdr:row>
      <xdr:rowOff>447675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3840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63</xdr:row>
      <xdr:rowOff>231775</xdr:rowOff>
    </xdr:from>
    <xdr:to>
      <xdr:col>10</xdr:col>
      <xdr:colOff>539750</xdr:colOff>
      <xdr:row>63</xdr:row>
      <xdr:rowOff>450850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3840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67</xdr:row>
      <xdr:rowOff>228600</xdr:rowOff>
    </xdr:from>
    <xdr:to>
      <xdr:col>3</xdr:col>
      <xdr:colOff>260350</xdr:colOff>
      <xdr:row>67</xdr:row>
      <xdr:rowOff>447675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4085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67</xdr:row>
      <xdr:rowOff>231775</xdr:rowOff>
    </xdr:from>
    <xdr:to>
      <xdr:col>3</xdr:col>
      <xdr:colOff>539750</xdr:colOff>
      <xdr:row>67</xdr:row>
      <xdr:rowOff>450850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4085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67</xdr:row>
      <xdr:rowOff>228600</xdr:rowOff>
    </xdr:from>
    <xdr:to>
      <xdr:col>10</xdr:col>
      <xdr:colOff>260350</xdr:colOff>
      <xdr:row>67</xdr:row>
      <xdr:rowOff>447675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4085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67</xdr:row>
      <xdr:rowOff>231775</xdr:rowOff>
    </xdr:from>
    <xdr:to>
      <xdr:col>10</xdr:col>
      <xdr:colOff>539750</xdr:colOff>
      <xdr:row>67</xdr:row>
      <xdr:rowOff>450850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4085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75</xdr:row>
      <xdr:rowOff>228600</xdr:rowOff>
    </xdr:from>
    <xdr:to>
      <xdr:col>3</xdr:col>
      <xdr:colOff>260350</xdr:colOff>
      <xdr:row>75</xdr:row>
      <xdr:rowOff>447675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45653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75</xdr:row>
      <xdr:rowOff>231775</xdr:rowOff>
    </xdr:from>
    <xdr:to>
      <xdr:col>3</xdr:col>
      <xdr:colOff>539750</xdr:colOff>
      <xdr:row>75</xdr:row>
      <xdr:rowOff>450850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45656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75</xdr:row>
      <xdr:rowOff>228600</xdr:rowOff>
    </xdr:from>
    <xdr:to>
      <xdr:col>10</xdr:col>
      <xdr:colOff>260350</xdr:colOff>
      <xdr:row>75</xdr:row>
      <xdr:rowOff>447675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45653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75</xdr:row>
      <xdr:rowOff>231775</xdr:rowOff>
    </xdr:from>
    <xdr:to>
      <xdr:col>10</xdr:col>
      <xdr:colOff>539750</xdr:colOff>
      <xdr:row>75</xdr:row>
      <xdr:rowOff>450850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45656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78</xdr:row>
      <xdr:rowOff>279400</xdr:rowOff>
    </xdr:from>
    <xdr:to>
      <xdr:col>3</xdr:col>
      <xdr:colOff>196850</xdr:colOff>
      <xdr:row>78</xdr:row>
      <xdr:rowOff>498475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47151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78</xdr:row>
      <xdr:rowOff>257175</xdr:rowOff>
    </xdr:from>
    <xdr:to>
      <xdr:col>3</xdr:col>
      <xdr:colOff>514350</xdr:colOff>
      <xdr:row>78</xdr:row>
      <xdr:rowOff>476250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4712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78</xdr:row>
      <xdr:rowOff>279400</xdr:rowOff>
    </xdr:from>
    <xdr:to>
      <xdr:col>10</xdr:col>
      <xdr:colOff>196850</xdr:colOff>
      <xdr:row>78</xdr:row>
      <xdr:rowOff>498475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471519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78</xdr:row>
      <xdr:rowOff>257175</xdr:rowOff>
    </xdr:from>
    <xdr:to>
      <xdr:col>10</xdr:col>
      <xdr:colOff>514350</xdr:colOff>
      <xdr:row>78</xdr:row>
      <xdr:rowOff>476250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47129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0587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0590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0587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0590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0587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0590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0587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0590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0587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0590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83</xdr:row>
      <xdr:rowOff>228600</xdr:rowOff>
    </xdr:from>
    <xdr:to>
      <xdr:col>3</xdr:col>
      <xdr:colOff>260350</xdr:colOff>
      <xdr:row>83</xdr:row>
      <xdr:rowOff>447675</xdr:rowOff>
    </xdr:to>
    <xdr:pic>
      <xdr:nvPicPr>
        <xdr:cNvPr id="1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0587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83</xdr:row>
      <xdr:rowOff>231775</xdr:rowOff>
    </xdr:from>
    <xdr:to>
      <xdr:col>3</xdr:col>
      <xdr:colOff>539750</xdr:colOff>
      <xdr:row>83</xdr:row>
      <xdr:rowOff>450850</xdr:rowOff>
    </xdr:to>
    <xdr:pic>
      <xdr:nvPicPr>
        <xdr:cNvPr id="1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0590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83</xdr:row>
      <xdr:rowOff>228600</xdr:rowOff>
    </xdr:from>
    <xdr:to>
      <xdr:col>10</xdr:col>
      <xdr:colOff>260350</xdr:colOff>
      <xdr:row>83</xdr:row>
      <xdr:rowOff>447675</xdr:rowOff>
    </xdr:to>
    <xdr:pic>
      <xdr:nvPicPr>
        <xdr:cNvPr id="1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0587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83</xdr:row>
      <xdr:rowOff>231775</xdr:rowOff>
    </xdr:from>
    <xdr:to>
      <xdr:col>10</xdr:col>
      <xdr:colOff>539750</xdr:colOff>
      <xdr:row>83</xdr:row>
      <xdr:rowOff>450850</xdr:rowOff>
    </xdr:to>
    <xdr:pic>
      <xdr:nvPicPr>
        <xdr:cNvPr id="1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0590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34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35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34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35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34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35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34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35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34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35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87</xdr:row>
      <xdr:rowOff>228600</xdr:rowOff>
    </xdr:from>
    <xdr:to>
      <xdr:col>3</xdr:col>
      <xdr:colOff>260350</xdr:colOff>
      <xdr:row>87</xdr:row>
      <xdr:rowOff>447675</xdr:rowOff>
    </xdr:to>
    <xdr:pic>
      <xdr:nvPicPr>
        <xdr:cNvPr id="1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5334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87</xdr:row>
      <xdr:rowOff>231775</xdr:rowOff>
    </xdr:from>
    <xdr:to>
      <xdr:col>3</xdr:col>
      <xdr:colOff>539750</xdr:colOff>
      <xdr:row>87</xdr:row>
      <xdr:rowOff>450850</xdr:rowOff>
    </xdr:to>
    <xdr:pic>
      <xdr:nvPicPr>
        <xdr:cNvPr id="1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5335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87</xdr:row>
      <xdr:rowOff>228600</xdr:rowOff>
    </xdr:from>
    <xdr:to>
      <xdr:col>10</xdr:col>
      <xdr:colOff>260350</xdr:colOff>
      <xdr:row>87</xdr:row>
      <xdr:rowOff>447675</xdr:rowOff>
    </xdr:to>
    <xdr:pic>
      <xdr:nvPicPr>
        <xdr:cNvPr id="1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53349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87</xdr:row>
      <xdr:rowOff>231775</xdr:rowOff>
    </xdr:from>
    <xdr:to>
      <xdr:col>10</xdr:col>
      <xdr:colOff>539750</xdr:colOff>
      <xdr:row>87</xdr:row>
      <xdr:rowOff>450850</xdr:rowOff>
    </xdr:to>
    <xdr:pic>
      <xdr:nvPicPr>
        <xdr:cNvPr id="1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53352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91</xdr:row>
      <xdr:rowOff>279400</xdr:rowOff>
    </xdr:from>
    <xdr:to>
      <xdr:col>3</xdr:col>
      <xdr:colOff>196850</xdr:colOff>
      <xdr:row>91</xdr:row>
      <xdr:rowOff>498475</xdr:rowOff>
    </xdr:to>
    <xdr:pic>
      <xdr:nvPicPr>
        <xdr:cNvPr id="1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5651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91</xdr:row>
      <xdr:rowOff>257175</xdr:rowOff>
    </xdr:from>
    <xdr:to>
      <xdr:col>3</xdr:col>
      <xdr:colOff>514350</xdr:colOff>
      <xdr:row>91</xdr:row>
      <xdr:rowOff>476250</xdr:rowOff>
    </xdr:to>
    <xdr:pic>
      <xdr:nvPicPr>
        <xdr:cNvPr id="1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5649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91</xdr:row>
      <xdr:rowOff>279400</xdr:rowOff>
    </xdr:from>
    <xdr:to>
      <xdr:col>10</xdr:col>
      <xdr:colOff>196850</xdr:colOff>
      <xdr:row>91</xdr:row>
      <xdr:rowOff>498475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565150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91</xdr:row>
      <xdr:rowOff>257175</xdr:rowOff>
    </xdr:from>
    <xdr:to>
      <xdr:col>10</xdr:col>
      <xdr:colOff>514350</xdr:colOff>
      <xdr:row>91</xdr:row>
      <xdr:rowOff>476250</xdr:rowOff>
    </xdr:to>
    <xdr:pic>
      <xdr:nvPicPr>
        <xdr:cNvPr id="1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564927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6350</xdr:colOff>
      <xdr:row>95</xdr:row>
      <xdr:rowOff>279400</xdr:rowOff>
    </xdr:from>
    <xdr:to>
      <xdr:col>3</xdr:col>
      <xdr:colOff>196850</xdr:colOff>
      <xdr:row>95</xdr:row>
      <xdr:rowOff>498475</xdr:rowOff>
    </xdr:to>
    <xdr:pic>
      <xdr:nvPicPr>
        <xdr:cNvPr id="1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44900" y="5961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295275</xdr:colOff>
      <xdr:row>95</xdr:row>
      <xdr:rowOff>257175</xdr:rowOff>
    </xdr:from>
    <xdr:to>
      <xdr:col>3</xdr:col>
      <xdr:colOff>514350</xdr:colOff>
      <xdr:row>95</xdr:row>
      <xdr:rowOff>476250</xdr:rowOff>
    </xdr:to>
    <xdr:pic>
      <xdr:nvPicPr>
        <xdr:cNvPr id="1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33825" y="5958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6350</xdr:colOff>
      <xdr:row>95</xdr:row>
      <xdr:rowOff>279400</xdr:rowOff>
    </xdr:from>
    <xdr:to>
      <xdr:col>10</xdr:col>
      <xdr:colOff>196850</xdr:colOff>
      <xdr:row>95</xdr:row>
      <xdr:rowOff>498475</xdr:rowOff>
    </xdr:to>
    <xdr:pic>
      <xdr:nvPicPr>
        <xdr:cNvPr id="1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960350" y="596106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295275</xdr:colOff>
      <xdr:row>95</xdr:row>
      <xdr:rowOff>257175</xdr:rowOff>
    </xdr:from>
    <xdr:to>
      <xdr:col>10</xdr:col>
      <xdr:colOff>514350</xdr:colOff>
      <xdr:row>95</xdr:row>
      <xdr:rowOff>476250</xdr:rowOff>
    </xdr:to>
    <xdr:pic>
      <xdr:nvPicPr>
        <xdr:cNvPr id="1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49275" y="595884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2379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2382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2379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2382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2379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2382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2379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2382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2379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2382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99</xdr:row>
      <xdr:rowOff>228600</xdr:rowOff>
    </xdr:from>
    <xdr:to>
      <xdr:col>3</xdr:col>
      <xdr:colOff>260350</xdr:colOff>
      <xdr:row>99</xdr:row>
      <xdr:rowOff>447675</xdr:rowOff>
    </xdr:to>
    <xdr:pic>
      <xdr:nvPicPr>
        <xdr:cNvPr id="1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2379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99</xdr:row>
      <xdr:rowOff>231775</xdr:rowOff>
    </xdr:from>
    <xdr:to>
      <xdr:col>3</xdr:col>
      <xdr:colOff>539750</xdr:colOff>
      <xdr:row>99</xdr:row>
      <xdr:rowOff>450850</xdr:rowOff>
    </xdr:to>
    <xdr:pic>
      <xdr:nvPicPr>
        <xdr:cNvPr id="1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2382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99</xdr:row>
      <xdr:rowOff>228600</xdr:rowOff>
    </xdr:from>
    <xdr:to>
      <xdr:col>10</xdr:col>
      <xdr:colOff>260350</xdr:colOff>
      <xdr:row>99</xdr:row>
      <xdr:rowOff>447675</xdr:rowOff>
    </xdr:to>
    <xdr:pic>
      <xdr:nvPicPr>
        <xdr:cNvPr id="1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2379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99</xdr:row>
      <xdr:rowOff>231775</xdr:rowOff>
    </xdr:from>
    <xdr:to>
      <xdr:col>10</xdr:col>
      <xdr:colOff>539750</xdr:colOff>
      <xdr:row>99</xdr:row>
      <xdr:rowOff>450850</xdr:rowOff>
    </xdr:to>
    <xdr:pic>
      <xdr:nvPicPr>
        <xdr:cNvPr id="1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2382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893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893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893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893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893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893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893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893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893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893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111</xdr:row>
      <xdr:rowOff>228600</xdr:rowOff>
    </xdr:from>
    <xdr:to>
      <xdr:col>3</xdr:col>
      <xdr:colOff>260350</xdr:colOff>
      <xdr:row>111</xdr:row>
      <xdr:rowOff>447675</xdr:rowOff>
    </xdr:to>
    <xdr:pic>
      <xdr:nvPicPr>
        <xdr:cNvPr id="1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893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111</xdr:row>
      <xdr:rowOff>231775</xdr:rowOff>
    </xdr:from>
    <xdr:to>
      <xdr:col>3</xdr:col>
      <xdr:colOff>539750</xdr:colOff>
      <xdr:row>111</xdr:row>
      <xdr:rowOff>450850</xdr:rowOff>
    </xdr:to>
    <xdr:pic>
      <xdr:nvPicPr>
        <xdr:cNvPr id="1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893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111</xdr:row>
      <xdr:rowOff>228600</xdr:rowOff>
    </xdr:from>
    <xdr:to>
      <xdr:col>10</xdr:col>
      <xdr:colOff>260350</xdr:colOff>
      <xdr:row>111</xdr:row>
      <xdr:rowOff>447675</xdr:rowOff>
    </xdr:to>
    <xdr:pic>
      <xdr:nvPicPr>
        <xdr:cNvPr id="1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89324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111</xdr:row>
      <xdr:rowOff>231775</xdr:rowOff>
    </xdr:from>
    <xdr:to>
      <xdr:col>10</xdr:col>
      <xdr:colOff>539750</xdr:colOff>
      <xdr:row>111</xdr:row>
      <xdr:rowOff>450850</xdr:rowOff>
    </xdr:to>
    <xdr:pic>
      <xdr:nvPicPr>
        <xdr:cNvPr id="1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89356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156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156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156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156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156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156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156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156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156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156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1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156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1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156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1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1561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1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1564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1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6627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6630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6627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6630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6627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6630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6627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6630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6627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6630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107</xdr:row>
      <xdr:rowOff>228600</xdr:rowOff>
    </xdr:from>
    <xdr:to>
      <xdr:col>3</xdr:col>
      <xdr:colOff>260350</xdr:colOff>
      <xdr:row>107</xdr:row>
      <xdr:rowOff>447675</xdr:rowOff>
    </xdr:to>
    <xdr:pic>
      <xdr:nvPicPr>
        <xdr:cNvPr id="2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6627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107</xdr:row>
      <xdr:rowOff>231775</xdr:rowOff>
    </xdr:from>
    <xdr:to>
      <xdr:col>3</xdr:col>
      <xdr:colOff>539750</xdr:colOff>
      <xdr:row>107</xdr:row>
      <xdr:rowOff>450850</xdr:rowOff>
    </xdr:to>
    <xdr:pic>
      <xdr:nvPicPr>
        <xdr:cNvPr id="2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6630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107</xdr:row>
      <xdr:rowOff>228600</xdr:rowOff>
    </xdr:from>
    <xdr:to>
      <xdr:col>10</xdr:col>
      <xdr:colOff>260350</xdr:colOff>
      <xdr:row>107</xdr:row>
      <xdr:rowOff>447675</xdr:rowOff>
    </xdr:to>
    <xdr:pic>
      <xdr:nvPicPr>
        <xdr:cNvPr id="2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6627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107</xdr:row>
      <xdr:rowOff>231775</xdr:rowOff>
    </xdr:from>
    <xdr:to>
      <xdr:col>10</xdr:col>
      <xdr:colOff>539750</xdr:colOff>
      <xdr:row>107</xdr:row>
      <xdr:rowOff>450850</xdr:rowOff>
    </xdr:to>
    <xdr:pic>
      <xdr:nvPicPr>
        <xdr:cNvPr id="2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6630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102</xdr:row>
      <xdr:rowOff>228600</xdr:rowOff>
    </xdr:from>
    <xdr:to>
      <xdr:col>3</xdr:col>
      <xdr:colOff>260350</xdr:colOff>
      <xdr:row>102</xdr:row>
      <xdr:rowOff>447675</xdr:rowOff>
    </xdr:to>
    <xdr:pic>
      <xdr:nvPicPr>
        <xdr:cNvPr id="2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637413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102</xdr:row>
      <xdr:rowOff>231775</xdr:rowOff>
    </xdr:from>
    <xdr:to>
      <xdr:col>3</xdr:col>
      <xdr:colOff>539750</xdr:colOff>
      <xdr:row>102</xdr:row>
      <xdr:rowOff>450850</xdr:rowOff>
    </xdr:to>
    <xdr:pic>
      <xdr:nvPicPr>
        <xdr:cNvPr id="2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637444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102</xdr:row>
      <xdr:rowOff>228600</xdr:rowOff>
    </xdr:from>
    <xdr:to>
      <xdr:col>10</xdr:col>
      <xdr:colOff>260350</xdr:colOff>
      <xdr:row>102</xdr:row>
      <xdr:rowOff>447675</xdr:rowOff>
    </xdr:to>
    <xdr:pic>
      <xdr:nvPicPr>
        <xdr:cNvPr id="2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637413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102</xdr:row>
      <xdr:rowOff>231775</xdr:rowOff>
    </xdr:from>
    <xdr:to>
      <xdr:col>10</xdr:col>
      <xdr:colOff>539750</xdr:colOff>
      <xdr:row>102</xdr:row>
      <xdr:rowOff>450850</xdr:rowOff>
    </xdr:to>
    <xdr:pic>
      <xdr:nvPicPr>
        <xdr:cNvPr id="2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637444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84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84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84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84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84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84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84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84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84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84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784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784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2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78400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2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78403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2800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2804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2800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2804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2800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2804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2800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2804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2800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2804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2800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2804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2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2800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2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2804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6782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6785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6782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6785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6782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6785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6782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6785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6782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6785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86782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86785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2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867822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2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867854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2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2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2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698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2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698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698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698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698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698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698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698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698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698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152</xdr:row>
      <xdr:rowOff>228600</xdr:rowOff>
    </xdr:from>
    <xdr:to>
      <xdr:col>3</xdr:col>
      <xdr:colOff>260350</xdr:colOff>
      <xdr:row>152</xdr:row>
      <xdr:rowOff>447675</xdr:rowOff>
    </xdr:to>
    <xdr:pic>
      <xdr:nvPicPr>
        <xdr:cNvPr id="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698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152</xdr:row>
      <xdr:rowOff>231775</xdr:rowOff>
    </xdr:from>
    <xdr:to>
      <xdr:col>3</xdr:col>
      <xdr:colOff>539750</xdr:colOff>
      <xdr:row>152</xdr:row>
      <xdr:rowOff>450850</xdr:rowOff>
    </xdr:to>
    <xdr:pic>
      <xdr:nvPicPr>
        <xdr:cNvPr id="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698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152</xdr:row>
      <xdr:rowOff>228600</xdr:rowOff>
    </xdr:from>
    <xdr:to>
      <xdr:col>10</xdr:col>
      <xdr:colOff>260350</xdr:colOff>
      <xdr:row>152</xdr:row>
      <xdr:rowOff>447675</xdr:rowOff>
    </xdr:to>
    <xdr:pic>
      <xdr:nvPicPr>
        <xdr:cNvPr id="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698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152</xdr:row>
      <xdr:rowOff>231775</xdr:rowOff>
    </xdr:from>
    <xdr:to>
      <xdr:col>10</xdr:col>
      <xdr:colOff>539750</xdr:colOff>
      <xdr:row>152</xdr:row>
      <xdr:rowOff>450850</xdr:rowOff>
    </xdr:to>
    <xdr:pic>
      <xdr:nvPicPr>
        <xdr:cNvPr id="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698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2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448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448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448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448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448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448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448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448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448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448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448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448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4482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4485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8644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8647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8644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8647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8644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8647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8644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8647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8644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8647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3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28644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3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28647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3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286446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3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286478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3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654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8136</xdr:colOff>
      <xdr:row>177</xdr:row>
      <xdr:rowOff>8533</xdr:rowOff>
    </xdr:from>
    <xdr:to>
      <xdr:col>5</xdr:col>
      <xdr:colOff>227211</xdr:colOff>
      <xdr:row>177</xdr:row>
      <xdr:rowOff>199033</xdr:rowOff>
    </xdr:to>
    <xdr:pic>
      <xdr:nvPicPr>
        <xdr:cNvPr id="3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447161" y="132434608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3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654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3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657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3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654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3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657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3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654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3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657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3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654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3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657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3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2654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3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2657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3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26546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3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26578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3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6578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3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6582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3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6578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3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6582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3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6578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3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6582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3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6578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3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6582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3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6578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3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6582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3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36578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3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36582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3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36578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3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36582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3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3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185</xdr:row>
      <xdr:rowOff>228600</xdr:rowOff>
    </xdr:from>
    <xdr:to>
      <xdr:col>10</xdr:col>
      <xdr:colOff>260350</xdr:colOff>
      <xdr:row>185</xdr:row>
      <xdr:rowOff>447675</xdr:rowOff>
    </xdr:to>
    <xdr:pic>
      <xdr:nvPicPr>
        <xdr:cNvPr id="3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185</xdr:row>
      <xdr:rowOff>231775</xdr:rowOff>
    </xdr:from>
    <xdr:to>
      <xdr:col>10</xdr:col>
      <xdr:colOff>539750</xdr:colOff>
      <xdr:row>185</xdr:row>
      <xdr:rowOff>450850</xdr:rowOff>
    </xdr:to>
    <xdr:pic>
      <xdr:nvPicPr>
        <xdr:cNvPr id="3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3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3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3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3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185</xdr:row>
      <xdr:rowOff>228600</xdr:rowOff>
    </xdr:from>
    <xdr:to>
      <xdr:col>10</xdr:col>
      <xdr:colOff>260350</xdr:colOff>
      <xdr:row>185</xdr:row>
      <xdr:rowOff>447675</xdr:rowOff>
    </xdr:to>
    <xdr:pic>
      <xdr:nvPicPr>
        <xdr:cNvPr id="3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185</xdr:row>
      <xdr:rowOff>231775</xdr:rowOff>
    </xdr:from>
    <xdr:to>
      <xdr:col>10</xdr:col>
      <xdr:colOff>539750</xdr:colOff>
      <xdr:row>185</xdr:row>
      <xdr:rowOff>450850</xdr:rowOff>
    </xdr:to>
    <xdr:pic>
      <xdr:nvPicPr>
        <xdr:cNvPr id="3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3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3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185</xdr:row>
      <xdr:rowOff>228600</xdr:rowOff>
    </xdr:from>
    <xdr:to>
      <xdr:col>10</xdr:col>
      <xdr:colOff>260350</xdr:colOff>
      <xdr:row>185</xdr:row>
      <xdr:rowOff>447675</xdr:rowOff>
    </xdr:to>
    <xdr:pic>
      <xdr:nvPicPr>
        <xdr:cNvPr id="3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185</xdr:row>
      <xdr:rowOff>231775</xdr:rowOff>
    </xdr:from>
    <xdr:to>
      <xdr:col>10</xdr:col>
      <xdr:colOff>539750</xdr:colOff>
      <xdr:row>185</xdr:row>
      <xdr:rowOff>450850</xdr:rowOff>
    </xdr:to>
    <xdr:pic>
      <xdr:nvPicPr>
        <xdr:cNvPr id="3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3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179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3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180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3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179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3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180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3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179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3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180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3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179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3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180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3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179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3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180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198</xdr:row>
      <xdr:rowOff>228600</xdr:rowOff>
    </xdr:from>
    <xdr:to>
      <xdr:col>3</xdr:col>
      <xdr:colOff>260350</xdr:colOff>
      <xdr:row>198</xdr:row>
      <xdr:rowOff>447675</xdr:rowOff>
    </xdr:to>
    <xdr:pic>
      <xdr:nvPicPr>
        <xdr:cNvPr id="3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179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198</xdr:row>
      <xdr:rowOff>231775</xdr:rowOff>
    </xdr:from>
    <xdr:to>
      <xdr:col>3</xdr:col>
      <xdr:colOff>539750</xdr:colOff>
      <xdr:row>198</xdr:row>
      <xdr:rowOff>450850</xdr:rowOff>
    </xdr:to>
    <xdr:pic>
      <xdr:nvPicPr>
        <xdr:cNvPr id="3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180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198</xdr:row>
      <xdr:rowOff>228600</xdr:rowOff>
    </xdr:from>
    <xdr:to>
      <xdr:col>10</xdr:col>
      <xdr:colOff>260350</xdr:colOff>
      <xdr:row>198</xdr:row>
      <xdr:rowOff>447675</xdr:rowOff>
    </xdr:to>
    <xdr:pic>
      <xdr:nvPicPr>
        <xdr:cNvPr id="3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179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198</xdr:row>
      <xdr:rowOff>231775</xdr:rowOff>
    </xdr:from>
    <xdr:to>
      <xdr:col>10</xdr:col>
      <xdr:colOff>539750</xdr:colOff>
      <xdr:row>198</xdr:row>
      <xdr:rowOff>450850</xdr:rowOff>
    </xdr:to>
    <xdr:pic>
      <xdr:nvPicPr>
        <xdr:cNvPr id="3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180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3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6105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3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6108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3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6105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3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6108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3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6105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3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6108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3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6105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3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6108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3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6105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3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6108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202</xdr:row>
      <xdr:rowOff>228600</xdr:rowOff>
    </xdr:from>
    <xdr:to>
      <xdr:col>3</xdr:col>
      <xdr:colOff>260350</xdr:colOff>
      <xdr:row>202</xdr:row>
      <xdr:rowOff>447675</xdr:rowOff>
    </xdr:to>
    <xdr:pic>
      <xdr:nvPicPr>
        <xdr:cNvPr id="3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6105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202</xdr:row>
      <xdr:rowOff>231775</xdr:rowOff>
    </xdr:from>
    <xdr:to>
      <xdr:col>3</xdr:col>
      <xdr:colOff>539750</xdr:colOff>
      <xdr:row>202</xdr:row>
      <xdr:rowOff>450850</xdr:rowOff>
    </xdr:to>
    <xdr:pic>
      <xdr:nvPicPr>
        <xdr:cNvPr id="3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6108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202</xdr:row>
      <xdr:rowOff>228600</xdr:rowOff>
    </xdr:from>
    <xdr:to>
      <xdr:col>10</xdr:col>
      <xdr:colOff>260350</xdr:colOff>
      <xdr:row>202</xdr:row>
      <xdr:rowOff>447675</xdr:rowOff>
    </xdr:to>
    <xdr:pic>
      <xdr:nvPicPr>
        <xdr:cNvPr id="3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6105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202</xdr:row>
      <xdr:rowOff>231775</xdr:rowOff>
    </xdr:from>
    <xdr:to>
      <xdr:col>10</xdr:col>
      <xdr:colOff>539750</xdr:colOff>
      <xdr:row>202</xdr:row>
      <xdr:rowOff>450850</xdr:rowOff>
    </xdr:to>
    <xdr:pic>
      <xdr:nvPicPr>
        <xdr:cNvPr id="3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6108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3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9972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9975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9972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9975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9972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9975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9972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9975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9972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9975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206</xdr:row>
      <xdr:rowOff>228600</xdr:rowOff>
    </xdr:from>
    <xdr:to>
      <xdr:col>3</xdr:col>
      <xdr:colOff>260350</xdr:colOff>
      <xdr:row>206</xdr:row>
      <xdr:rowOff>447675</xdr:rowOff>
    </xdr:to>
    <xdr:pic>
      <xdr:nvPicPr>
        <xdr:cNvPr id="4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59972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206</xdr:row>
      <xdr:rowOff>231775</xdr:rowOff>
    </xdr:from>
    <xdr:to>
      <xdr:col>3</xdr:col>
      <xdr:colOff>539750</xdr:colOff>
      <xdr:row>206</xdr:row>
      <xdr:rowOff>450850</xdr:rowOff>
    </xdr:to>
    <xdr:pic>
      <xdr:nvPicPr>
        <xdr:cNvPr id="4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59975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206</xdr:row>
      <xdr:rowOff>228600</xdr:rowOff>
    </xdr:from>
    <xdr:to>
      <xdr:col>10</xdr:col>
      <xdr:colOff>260350</xdr:colOff>
      <xdr:row>206</xdr:row>
      <xdr:rowOff>447675</xdr:rowOff>
    </xdr:to>
    <xdr:pic>
      <xdr:nvPicPr>
        <xdr:cNvPr id="4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59972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206</xdr:row>
      <xdr:rowOff>231775</xdr:rowOff>
    </xdr:from>
    <xdr:to>
      <xdr:col>10</xdr:col>
      <xdr:colOff>539750</xdr:colOff>
      <xdr:row>206</xdr:row>
      <xdr:rowOff>450850</xdr:rowOff>
    </xdr:to>
    <xdr:pic>
      <xdr:nvPicPr>
        <xdr:cNvPr id="4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59975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4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3906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4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3909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4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3906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4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3909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4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3906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4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3909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4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3906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4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3909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4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3906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4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3909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210</xdr:row>
      <xdr:rowOff>228600</xdr:rowOff>
    </xdr:from>
    <xdr:to>
      <xdr:col>3</xdr:col>
      <xdr:colOff>260350</xdr:colOff>
      <xdr:row>210</xdr:row>
      <xdr:rowOff>447675</xdr:rowOff>
    </xdr:to>
    <xdr:pic>
      <xdr:nvPicPr>
        <xdr:cNvPr id="4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3906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210</xdr:row>
      <xdr:rowOff>231775</xdr:rowOff>
    </xdr:from>
    <xdr:to>
      <xdr:col>3</xdr:col>
      <xdr:colOff>539750</xdr:colOff>
      <xdr:row>210</xdr:row>
      <xdr:rowOff>450850</xdr:rowOff>
    </xdr:to>
    <xdr:pic>
      <xdr:nvPicPr>
        <xdr:cNvPr id="4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3909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210</xdr:row>
      <xdr:rowOff>228600</xdr:rowOff>
    </xdr:from>
    <xdr:to>
      <xdr:col>10</xdr:col>
      <xdr:colOff>260350</xdr:colOff>
      <xdr:row>210</xdr:row>
      <xdr:rowOff>447675</xdr:rowOff>
    </xdr:to>
    <xdr:pic>
      <xdr:nvPicPr>
        <xdr:cNvPr id="4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39062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210</xdr:row>
      <xdr:rowOff>231775</xdr:rowOff>
    </xdr:from>
    <xdr:to>
      <xdr:col>10</xdr:col>
      <xdr:colOff>539750</xdr:colOff>
      <xdr:row>210</xdr:row>
      <xdr:rowOff>450850</xdr:rowOff>
    </xdr:to>
    <xdr:pic>
      <xdr:nvPicPr>
        <xdr:cNvPr id="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39093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4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8116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4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8119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4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8116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4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8119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4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8116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8119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4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8116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4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8119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4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8116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4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8119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214</xdr:row>
      <xdr:rowOff>228600</xdr:rowOff>
    </xdr:from>
    <xdr:to>
      <xdr:col>3</xdr:col>
      <xdr:colOff>260350</xdr:colOff>
      <xdr:row>214</xdr:row>
      <xdr:rowOff>447675</xdr:rowOff>
    </xdr:to>
    <xdr:pic>
      <xdr:nvPicPr>
        <xdr:cNvPr id="4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68116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214</xdr:row>
      <xdr:rowOff>231775</xdr:rowOff>
    </xdr:from>
    <xdr:to>
      <xdr:col>3</xdr:col>
      <xdr:colOff>539750</xdr:colOff>
      <xdr:row>214</xdr:row>
      <xdr:rowOff>450850</xdr:rowOff>
    </xdr:to>
    <xdr:pic>
      <xdr:nvPicPr>
        <xdr:cNvPr id="4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68119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214</xdr:row>
      <xdr:rowOff>228600</xdr:rowOff>
    </xdr:from>
    <xdr:to>
      <xdr:col>10</xdr:col>
      <xdr:colOff>260350</xdr:colOff>
      <xdr:row>214</xdr:row>
      <xdr:rowOff>447675</xdr:rowOff>
    </xdr:to>
    <xdr:pic>
      <xdr:nvPicPr>
        <xdr:cNvPr id="4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68116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214</xdr:row>
      <xdr:rowOff>231775</xdr:rowOff>
    </xdr:from>
    <xdr:to>
      <xdr:col>10</xdr:col>
      <xdr:colOff>539750</xdr:colOff>
      <xdr:row>214</xdr:row>
      <xdr:rowOff>450850</xdr:rowOff>
    </xdr:to>
    <xdr:pic>
      <xdr:nvPicPr>
        <xdr:cNvPr id="4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68119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4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2250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218</xdr:row>
      <xdr:rowOff>231775</xdr:rowOff>
    </xdr:from>
    <xdr:to>
      <xdr:col>3</xdr:col>
      <xdr:colOff>539750</xdr:colOff>
      <xdr:row>218</xdr:row>
      <xdr:rowOff>450850</xdr:rowOff>
    </xdr:to>
    <xdr:pic>
      <xdr:nvPicPr>
        <xdr:cNvPr id="4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2253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218</xdr:row>
      <xdr:rowOff>228600</xdr:rowOff>
    </xdr:from>
    <xdr:to>
      <xdr:col>10</xdr:col>
      <xdr:colOff>260350</xdr:colOff>
      <xdr:row>218</xdr:row>
      <xdr:rowOff>447675</xdr:rowOff>
    </xdr:to>
    <xdr:pic>
      <xdr:nvPicPr>
        <xdr:cNvPr id="4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2250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218</xdr:row>
      <xdr:rowOff>231775</xdr:rowOff>
    </xdr:from>
    <xdr:to>
      <xdr:col>10</xdr:col>
      <xdr:colOff>539750</xdr:colOff>
      <xdr:row>218</xdr:row>
      <xdr:rowOff>450850</xdr:rowOff>
    </xdr:to>
    <xdr:pic>
      <xdr:nvPicPr>
        <xdr:cNvPr id="4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2253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4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2250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218</xdr:row>
      <xdr:rowOff>231775</xdr:rowOff>
    </xdr:from>
    <xdr:to>
      <xdr:col>3</xdr:col>
      <xdr:colOff>539750</xdr:colOff>
      <xdr:row>218</xdr:row>
      <xdr:rowOff>450850</xdr:rowOff>
    </xdr:to>
    <xdr:pic>
      <xdr:nvPicPr>
        <xdr:cNvPr id="4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2253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4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2250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218</xdr:row>
      <xdr:rowOff>231775</xdr:rowOff>
    </xdr:from>
    <xdr:to>
      <xdr:col>3</xdr:col>
      <xdr:colOff>539750</xdr:colOff>
      <xdr:row>218</xdr:row>
      <xdr:rowOff>450850</xdr:rowOff>
    </xdr:to>
    <xdr:pic>
      <xdr:nvPicPr>
        <xdr:cNvPr id="4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2253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218</xdr:row>
      <xdr:rowOff>228600</xdr:rowOff>
    </xdr:from>
    <xdr:to>
      <xdr:col>10</xdr:col>
      <xdr:colOff>260350</xdr:colOff>
      <xdr:row>218</xdr:row>
      <xdr:rowOff>447675</xdr:rowOff>
    </xdr:to>
    <xdr:pic>
      <xdr:nvPicPr>
        <xdr:cNvPr id="4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2250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218</xdr:row>
      <xdr:rowOff>231775</xdr:rowOff>
    </xdr:from>
    <xdr:to>
      <xdr:col>10</xdr:col>
      <xdr:colOff>539750</xdr:colOff>
      <xdr:row>218</xdr:row>
      <xdr:rowOff>450850</xdr:rowOff>
    </xdr:to>
    <xdr:pic>
      <xdr:nvPicPr>
        <xdr:cNvPr id="4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2253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218</xdr:row>
      <xdr:rowOff>228600</xdr:rowOff>
    </xdr:from>
    <xdr:to>
      <xdr:col>3</xdr:col>
      <xdr:colOff>260350</xdr:colOff>
      <xdr:row>218</xdr:row>
      <xdr:rowOff>447675</xdr:rowOff>
    </xdr:to>
    <xdr:pic>
      <xdr:nvPicPr>
        <xdr:cNvPr id="4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2250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218</xdr:row>
      <xdr:rowOff>231775</xdr:rowOff>
    </xdr:from>
    <xdr:to>
      <xdr:col>3</xdr:col>
      <xdr:colOff>539750</xdr:colOff>
      <xdr:row>218</xdr:row>
      <xdr:rowOff>450850</xdr:rowOff>
    </xdr:to>
    <xdr:pic>
      <xdr:nvPicPr>
        <xdr:cNvPr id="4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2253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218</xdr:row>
      <xdr:rowOff>228600</xdr:rowOff>
    </xdr:from>
    <xdr:to>
      <xdr:col>10</xdr:col>
      <xdr:colOff>260350</xdr:colOff>
      <xdr:row>218</xdr:row>
      <xdr:rowOff>447675</xdr:rowOff>
    </xdr:to>
    <xdr:pic>
      <xdr:nvPicPr>
        <xdr:cNvPr id="4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22501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218</xdr:row>
      <xdr:rowOff>231775</xdr:rowOff>
    </xdr:from>
    <xdr:to>
      <xdr:col>10</xdr:col>
      <xdr:colOff>539750</xdr:colOff>
      <xdr:row>218</xdr:row>
      <xdr:rowOff>450850</xdr:rowOff>
    </xdr:to>
    <xdr:pic>
      <xdr:nvPicPr>
        <xdr:cNvPr id="4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22532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222</xdr:row>
      <xdr:rowOff>228600</xdr:rowOff>
    </xdr:from>
    <xdr:to>
      <xdr:col>3</xdr:col>
      <xdr:colOff>260350</xdr:colOff>
      <xdr:row>222</xdr:row>
      <xdr:rowOff>447675</xdr:rowOff>
    </xdr:to>
    <xdr:pic>
      <xdr:nvPicPr>
        <xdr:cNvPr id="4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6583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222</xdr:row>
      <xdr:rowOff>231775</xdr:rowOff>
    </xdr:from>
    <xdr:to>
      <xdr:col>3</xdr:col>
      <xdr:colOff>539750</xdr:colOff>
      <xdr:row>222</xdr:row>
      <xdr:rowOff>450850</xdr:rowOff>
    </xdr:to>
    <xdr:pic>
      <xdr:nvPicPr>
        <xdr:cNvPr id="4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6587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222</xdr:row>
      <xdr:rowOff>228600</xdr:rowOff>
    </xdr:from>
    <xdr:to>
      <xdr:col>10</xdr:col>
      <xdr:colOff>260350</xdr:colOff>
      <xdr:row>222</xdr:row>
      <xdr:rowOff>447675</xdr:rowOff>
    </xdr:to>
    <xdr:pic>
      <xdr:nvPicPr>
        <xdr:cNvPr id="4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6583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222</xdr:row>
      <xdr:rowOff>231775</xdr:rowOff>
    </xdr:from>
    <xdr:to>
      <xdr:col>10</xdr:col>
      <xdr:colOff>539750</xdr:colOff>
      <xdr:row>222</xdr:row>
      <xdr:rowOff>450850</xdr:rowOff>
    </xdr:to>
    <xdr:pic>
      <xdr:nvPicPr>
        <xdr:cNvPr id="4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6587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222</xdr:row>
      <xdr:rowOff>228600</xdr:rowOff>
    </xdr:from>
    <xdr:to>
      <xdr:col>3</xdr:col>
      <xdr:colOff>260350</xdr:colOff>
      <xdr:row>222</xdr:row>
      <xdr:rowOff>447675</xdr:rowOff>
    </xdr:to>
    <xdr:pic>
      <xdr:nvPicPr>
        <xdr:cNvPr id="4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6583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222</xdr:row>
      <xdr:rowOff>231775</xdr:rowOff>
    </xdr:from>
    <xdr:to>
      <xdr:col>3</xdr:col>
      <xdr:colOff>539750</xdr:colOff>
      <xdr:row>222</xdr:row>
      <xdr:rowOff>450850</xdr:rowOff>
    </xdr:to>
    <xdr:pic>
      <xdr:nvPicPr>
        <xdr:cNvPr id="4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6587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222</xdr:row>
      <xdr:rowOff>228600</xdr:rowOff>
    </xdr:from>
    <xdr:to>
      <xdr:col>3</xdr:col>
      <xdr:colOff>260350</xdr:colOff>
      <xdr:row>222</xdr:row>
      <xdr:rowOff>447675</xdr:rowOff>
    </xdr:to>
    <xdr:pic>
      <xdr:nvPicPr>
        <xdr:cNvPr id="4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6583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222</xdr:row>
      <xdr:rowOff>231775</xdr:rowOff>
    </xdr:from>
    <xdr:to>
      <xdr:col>3</xdr:col>
      <xdr:colOff>539750</xdr:colOff>
      <xdr:row>222</xdr:row>
      <xdr:rowOff>450850</xdr:rowOff>
    </xdr:to>
    <xdr:pic>
      <xdr:nvPicPr>
        <xdr:cNvPr id="4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6587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222</xdr:row>
      <xdr:rowOff>228600</xdr:rowOff>
    </xdr:from>
    <xdr:to>
      <xdr:col>10</xdr:col>
      <xdr:colOff>260350</xdr:colOff>
      <xdr:row>222</xdr:row>
      <xdr:rowOff>447675</xdr:rowOff>
    </xdr:to>
    <xdr:pic>
      <xdr:nvPicPr>
        <xdr:cNvPr id="4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6583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222</xdr:row>
      <xdr:rowOff>231775</xdr:rowOff>
    </xdr:from>
    <xdr:to>
      <xdr:col>10</xdr:col>
      <xdr:colOff>539750</xdr:colOff>
      <xdr:row>222</xdr:row>
      <xdr:rowOff>450850</xdr:rowOff>
    </xdr:to>
    <xdr:pic>
      <xdr:nvPicPr>
        <xdr:cNvPr id="4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6587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222</xdr:row>
      <xdr:rowOff>228600</xdr:rowOff>
    </xdr:from>
    <xdr:to>
      <xdr:col>3</xdr:col>
      <xdr:colOff>260350</xdr:colOff>
      <xdr:row>222</xdr:row>
      <xdr:rowOff>447675</xdr:rowOff>
    </xdr:to>
    <xdr:pic>
      <xdr:nvPicPr>
        <xdr:cNvPr id="4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76583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222</xdr:row>
      <xdr:rowOff>231775</xdr:rowOff>
    </xdr:from>
    <xdr:to>
      <xdr:col>3</xdr:col>
      <xdr:colOff>539750</xdr:colOff>
      <xdr:row>222</xdr:row>
      <xdr:rowOff>450850</xdr:rowOff>
    </xdr:to>
    <xdr:pic>
      <xdr:nvPicPr>
        <xdr:cNvPr id="4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76587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222</xdr:row>
      <xdr:rowOff>228600</xdr:rowOff>
    </xdr:from>
    <xdr:to>
      <xdr:col>10</xdr:col>
      <xdr:colOff>260350</xdr:colOff>
      <xdr:row>222</xdr:row>
      <xdr:rowOff>447675</xdr:rowOff>
    </xdr:to>
    <xdr:pic>
      <xdr:nvPicPr>
        <xdr:cNvPr id="4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765839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222</xdr:row>
      <xdr:rowOff>231775</xdr:rowOff>
    </xdr:from>
    <xdr:to>
      <xdr:col>10</xdr:col>
      <xdr:colOff>539750</xdr:colOff>
      <xdr:row>222</xdr:row>
      <xdr:rowOff>450850</xdr:rowOff>
    </xdr:to>
    <xdr:pic>
      <xdr:nvPicPr>
        <xdr:cNvPr id="4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765871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4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563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4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563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4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563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4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563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4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563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4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563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4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563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4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563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4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563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4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563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4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563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4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563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4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56327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4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56359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4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718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4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722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4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718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4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722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4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718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4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722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4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718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4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722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4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718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4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722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235</xdr:row>
      <xdr:rowOff>228600</xdr:rowOff>
    </xdr:from>
    <xdr:to>
      <xdr:col>3</xdr:col>
      <xdr:colOff>260350</xdr:colOff>
      <xdr:row>235</xdr:row>
      <xdr:rowOff>447675</xdr:rowOff>
    </xdr:to>
    <xdr:pic>
      <xdr:nvPicPr>
        <xdr:cNvPr id="4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89718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235</xdr:row>
      <xdr:rowOff>231775</xdr:rowOff>
    </xdr:from>
    <xdr:to>
      <xdr:col>3</xdr:col>
      <xdr:colOff>539750</xdr:colOff>
      <xdr:row>235</xdr:row>
      <xdr:rowOff>450850</xdr:rowOff>
    </xdr:to>
    <xdr:pic>
      <xdr:nvPicPr>
        <xdr:cNvPr id="4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89722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235</xdr:row>
      <xdr:rowOff>228600</xdr:rowOff>
    </xdr:from>
    <xdr:to>
      <xdr:col>10</xdr:col>
      <xdr:colOff>260350</xdr:colOff>
      <xdr:row>235</xdr:row>
      <xdr:rowOff>447675</xdr:rowOff>
    </xdr:to>
    <xdr:pic>
      <xdr:nvPicPr>
        <xdr:cNvPr id="4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897189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235</xdr:row>
      <xdr:rowOff>231775</xdr:rowOff>
    </xdr:from>
    <xdr:to>
      <xdr:col>10</xdr:col>
      <xdr:colOff>539750</xdr:colOff>
      <xdr:row>235</xdr:row>
      <xdr:rowOff>450850</xdr:rowOff>
    </xdr:to>
    <xdr:pic>
      <xdr:nvPicPr>
        <xdr:cNvPr id="4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897221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4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87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4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875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4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87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875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87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875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87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875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87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875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239</xdr:row>
      <xdr:rowOff>228600</xdr:rowOff>
    </xdr:from>
    <xdr:to>
      <xdr:col>3</xdr:col>
      <xdr:colOff>260350</xdr:colOff>
      <xdr:row>239</xdr:row>
      <xdr:rowOff>447675</xdr:rowOff>
    </xdr:to>
    <xdr:pic>
      <xdr:nvPicPr>
        <xdr:cNvPr id="5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387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239</xdr:row>
      <xdr:rowOff>231775</xdr:rowOff>
    </xdr:from>
    <xdr:to>
      <xdr:col>3</xdr:col>
      <xdr:colOff>539750</xdr:colOff>
      <xdr:row>239</xdr:row>
      <xdr:rowOff>450850</xdr:rowOff>
    </xdr:to>
    <xdr:pic>
      <xdr:nvPicPr>
        <xdr:cNvPr id="5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3875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239</xdr:row>
      <xdr:rowOff>228600</xdr:rowOff>
    </xdr:from>
    <xdr:to>
      <xdr:col>10</xdr:col>
      <xdr:colOff>260350</xdr:colOff>
      <xdr:row>239</xdr:row>
      <xdr:rowOff>447675</xdr:rowOff>
    </xdr:to>
    <xdr:pic>
      <xdr:nvPicPr>
        <xdr:cNvPr id="5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38718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239</xdr:row>
      <xdr:rowOff>231775</xdr:rowOff>
    </xdr:from>
    <xdr:to>
      <xdr:col>10</xdr:col>
      <xdr:colOff>539750</xdr:colOff>
      <xdr:row>239</xdr:row>
      <xdr:rowOff>450850</xdr:rowOff>
    </xdr:to>
    <xdr:pic>
      <xdr:nvPicPr>
        <xdr:cNvPr id="5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38750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5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5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5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5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5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5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5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513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5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513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5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513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5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513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5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513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5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513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5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513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5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513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5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513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5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513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251</xdr:row>
      <xdr:rowOff>228600</xdr:rowOff>
    </xdr:from>
    <xdr:to>
      <xdr:col>3</xdr:col>
      <xdr:colOff>260350</xdr:colOff>
      <xdr:row>251</xdr:row>
      <xdr:rowOff>447675</xdr:rowOff>
    </xdr:to>
    <xdr:pic>
      <xdr:nvPicPr>
        <xdr:cNvPr id="5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513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251</xdr:row>
      <xdr:rowOff>231775</xdr:rowOff>
    </xdr:from>
    <xdr:to>
      <xdr:col>3</xdr:col>
      <xdr:colOff>539750</xdr:colOff>
      <xdr:row>251</xdr:row>
      <xdr:rowOff>450850</xdr:rowOff>
    </xdr:to>
    <xdr:pic>
      <xdr:nvPicPr>
        <xdr:cNvPr id="5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513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251</xdr:row>
      <xdr:rowOff>228600</xdr:rowOff>
    </xdr:from>
    <xdr:to>
      <xdr:col>10</xdr:col>
      <xdr:colOff>260350</xdr:colOff>
      <xdr:row>251</xdr:row>
      <xdr:rowOff>447675</xdr:rowOff>
    </xdr:to>
    <xdr:pic>
      <xdr:nvPicPr>
        <xdr:cNvPr id="5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5130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251</xdr:row>
      <xdr:rowOff>231775</xdr:rowOff>
    </xdr:from>
    <xdr:to>
      <xdr:col>10</xdr:col>
      <xdr:colOff>539750</xdr:colOff>
      <xdr:row>251</xdr:row>
      <xdr:rowOff>450850</xdr:rowOff>
    </xdr:to>
    <xdr:pic>
      <xdr:nvPicPr>
        <xdr:cNvPr id="5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5133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5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894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5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895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5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894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5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895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5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894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5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895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5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894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5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895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5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894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5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895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255</xdr:row>
      <xdr:rowOff>228600</xdr:rowOff>
    </xdr:from>
    <xdr:to>
      <xdr:col>3</xdr:col>
      <xdr:colOff>260350</xdr:colOff>
      <xdr:row>255</xdr:row>
      <xdr:rowOff>447675</xdr:rowOff>
    </xdr:to>
    <xdr:pic>
      <xdr:nvPicPr>
        <xdr:cNvPr id="5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894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255</xdr:row>
      <xdr:rowOff>231775</xdr:rowOff>
    </xdr:from>
    <xdr:to>
      <xdr:col>3</xdr:col>
      <xdr:colOff>539750</xdr:colOff>
      <xdr:row>255</xdr:row>
      <xdr:rowOff>450850</xdr:rowOff>
    </xdr:to>
    <xdr:pic>
      <xdr:nvPicPr>
        <xdr:cNvPr id="5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895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255</xdr:row>
      <xdr:rowOff>228600</xdr:rowOff>
    </xdr:from>
    <xdr:to>
      <xdr:col>10</xdr:col>
      <xdr:colOff>260350</xdr:colOff>
      <xdr:row>255</xdr:row>
      <xdr:rowOff>447675</xdr:rowOff>
    </xdr:to>
    <xdr:pic>
      <xdr:nvPicPr>
        <xdr:cNvPr id="5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89499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255</xdr:row>
      <xdr:rowOff>231775</xdr:rowOff>
    </xdr:from>
    <xdr:to>
      <xdr:col>10</xdr:col>
      <xdr:colOff>539750</xdr:colOff>
      <xdr:row>255</xdr:row>
      <xdr:rowOff>450850</xdr:rowOff>
    </xdr:to>
    <xdr:pic>
      <xdr:nvPicPr>
        <xdr:cNvPr id="5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89531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5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2912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5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2915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5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2912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5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2915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5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2912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5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2915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5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2912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5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2915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5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2912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5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2915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5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2912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5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2915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5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29123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5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29155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5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509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5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509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5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509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5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509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5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509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5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509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5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509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5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509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5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509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5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509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272</xdr:row>
      <xdr:rowOff>228600</xdr:rowOff>
    </xdr:from>
    <xdr:to>
      <xdr:col>3</xdr:col>
      <xdr:colOff>260350</xdr:colOff>
      <xdr:row>272</xdr:row>
      <xdr:rowOff>447675</xdr:rowOff>
    </xdr:to>
    <xdr:pic>
      <xdr:nvPicPr>
        <xdr:cNvPr id="5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509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272</xdr:row>
      <xdr:rowOff>231775</xdr:rowOff>
    </xdr:from>
    <xdr:to>
      <xdr:col>3</xdr:col>
      <xdr:colOff>539750</xdr:colOff>
      <xdr:row>272</xdr:row>
      <xdr:rowOff>450850</xdr:rowOff>
    </xdr:to>
    <xdr:pic>
      <xdr:nvPicPr>
        <xdr:cNvPr id="5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509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272</xdr:row>
      <xdr:rowOff>228600</xdr:rowOff>
    </xdr:from>
    <xdr:to>
      <xdr:col>10</xdr:col>
      <xdr:colOff>260350</xdr:colOff>
      <xdr:row>272</xdr:row>
      <xdr:rowOff>447675</xdr:rowOff>
    </xdr:to>
    <xdr:pic>
      <xdr:nvPicPr>
        <xdr:cNvPr id="5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50948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272</xdr:row>
      <xdr:rowOff>231775</xdr:rowOff>
    </xdr:from>
    <xdr:to>
      <xdr:col>10</xdr:col>
      <xdr:colOff>539750</xdr:colOff>
      <xdr:row>272</xdr:row>
      <xdr:rowOff>450850</xdr:rowOff>
    </xdr:to>
    <xdr:pic>
      <xdr:nvPicPr>
        <xdr:cNvPr id="5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50979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75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75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75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75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75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75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75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75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75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75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243</xdr:row>
      <xdr:rowOff>228600</xdr:rowOff>
    </xdr:from>
    <xdr:to>
      <xdr:col>3</xdr:col>
      <xdr:colOff>260350</xdr:colOff>
      <xdr:row>243</xdr:row>
      <xdr:rowOff>447675</xdr:rowOff>
    </xdr:to>
    <xdr:pic>
      <xdr:nvPicPr>
        <xdr:cNvPr id="5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975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243</xdr:row>
      <xdr:rowOff>231775</xdr:rowOff>
    </xdr:from>
    <xdr:to>
      <xdr:col>3</xdr:col>
      <xdr:colOff>539750</xdr:colOff>
      <xdr:row>243</xdr:row>
      <xdr:rowOff>450850</xdr:rowOff>
    </xdr:to>
    <xdr:pic>
      <xdr:nvPicPr>
        <xdr:cNvPr id="5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975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243</xdr:row>
      <xdr:rowOff>228600</xdr:rowOff>
    </xdr:from>
    <xdr:to>
      <xdr:col>10</xdr:col>
      <xdr:colOff>260350</xdr:colOff>
      <xdr:row>243</xdr:row>
      <xdr:rowOff>447675</xdr:rowOff>
    </xdr:to>
    <xdr:pic>
      <xdr:nvPicPr>
        <xdr:cNvPr id="5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975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243</xdr:row>
      <xdr:rowOff>231775</xdr:rowOff>
    </xdr:from>
    <xdr:to>
      <xdr:col>10</xdr:col>
      <xdr:colOff>539750</xdr:colOff>
      <xdr:row>243</xdr:row>
      <xdr:rowOff>450850</xdr:rowOff>
    </xdr:to>
    <xdr:pic>
      <xdr:nvPicPr>
        <xdr:cNvPr id="5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975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5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5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5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5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6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6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247</xdr:row>
      <xdr:rowOff>228600</xdr:rowOff>
    </xdr:from>
    <xdr:to>
      <xdr:col>3</xdr:col>
      <xdr:colOff>260350</xdr:colOff>
      <xdr:row>247</xdr:row>
      <xdr:rowOff>447675</xdr:rowOff>
    </xdr:to>
    <xdr:pic>
      <xdr:nvPicPr>
        <xdr:cNvPr id="6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247</xdr:row>
      <xdr:rowOff>231775</xdr:rowOff>
    </xdr:from>
    <xdr:to>
      <xdr:col>3</xdr:col>
      <xdr:colOff>539750</xdr:colOff>
      <xdr:row>247</xdr:row>
      <xdr:rowOff>450850</xdr:rowOff>
    </xdr:to>
    <xdr:pic>
      <xdr:nvPicPr>
        <xdr:cNvPr id="6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247</xdr:row>
      <xdr:rowOff>228600</xdr:rowOff>
    </xdr:from>
    <xdr:to>
      <xdr:col>10</xdr:col>
      <xdr:colOff>260350</xdr:colOff>
      <xdr:row>247</xdr:row>
      <xdr:rowOff>447675</xdr:rowOff>
    </xdr:to>
    <xdr:pic>
      <xdr:nvPicPr>
        <xdr:cNvPr id="6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012918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247</xdr:row>
      <xdr:rowOff>231775</xdr:rowOff>
    </xdr:from>
    <xdr:to>
      <xdr:col>10</xdr:col>
      <xdr:colOff>539750</xdr:colOff>
      <xdr:row>247</xdr:row>
      <xdr:rowOff>450850</xdr:rowOff>
    </xdr:to>
    <xdr:pic>
      <xdr:nvPicPr>
        <xdr:cNvPr id="6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012950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263</xdr:row>
      <xdr:rowOff>228600</xdr:rowOff>
    </xdr:from>
    <xdr:to>
      <xdr:col>3</xdr:col>
      <xdr:colOff>260350</xdr:colOff>
      <xdr:row>263</xdr:row>
      <xdr:rowOff>447675</xdr:rowOff>
    </xdr:to>
    <xdr:pic>
      <xdr:nvPicPr>
        <xdr:cNvPr id="6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36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263</xdr:row>
      <xdr:rowOff>231775</xdr:rowOff>
    </xdr:from>
    <xdr:to>
      <xdr:col>3</xdr:col>
      <xdr:colOff>539750</xdr:colOff>
      <xdr:row>263</xdr:row>
      <xdr:rowOff>450850</xdr:rowOff>
    </xdr:to>
    <xdr:pic>
      <xdr:nvPicPr>
        <xdr:cNvPr id="6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37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263</xdr:row>
      <xdr:rowOff>228600</xdr:rowOff>
    </xdr:from>
    <xdr:to>
      <xdr:col>10</xdr:col>
      <xdr:colOff>260350</xdr:colOff>
      <xdr:row>263</xdr:row>
      <xdr:rowOff>447675</xdr:rowOff>
    </xdr:to>
    <xdr:pic>
      <xdr:nvPicPr>
        <xdr:cNvPr id="6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36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263</xdr:row>
      <xdr:rowOff>231775</xdr:rowOff>
    </xdr:from>
    <xdr:to>
      <xdr:col>10</xdr:col>
      <xdr:colOff>539750</xdr:colOff>
      <xdr:row>263</xdr:row>
      <xdr:rowOff>450850</xdr:rowOff>
    </xdr:to>
    <xdr:pic>
      <xdr:nvPicPr>
        <xdr:cNvPr id="6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37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263</xdr:row>
      <xdr:rowOff>228600</xdr:rowOff>
    </xdr:from>
    <xdr:to>
      <xdr:col>3</xdr:col>
      <xdr:colOff>260350</xdr:colOff>
      <xdr:row>263</xdr:row>
      <xdr:rowOff>447675</xdr:rowOff>
    </xdr:to>
    <xdr:pic>
      <xdr:nvPicPr>
        <xdr:cNvPr id="6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36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263</xdr:row>
      <xdr:rowOff>231775</xdr:rowOff>
    </xdr:from>
    <xdr:to>
      <xdr:col>3</xdr:col>
      <xdr:colOff>539750</xdr:colOff>
      <xdr:row>263</xdr:row>
      <xdr:rowOff>450850</xdr:rowOff>
    </xdr:to>
    <xdr:pic>
      <xdr:nvPicPr>
        <xdr:cNvPr id="6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37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263</xdr:row>
      <xdr:rowOff>228600</xdr:rowOff>
    </xdr:from>
    <xdr:to>
      <xdr:col>3</xdr:col>
      <xdr:colOff>260350</xdr:colOff>
      <xdr:row>263</xdr:row>
      <xdr:rowOff>447675</xdr:rowOff>
    </xdr:to>
    <xdr:pic>
      <xdr:nvPicPr>
        <xdr:cNvPr id="6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36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263</xdr:row>
      <xdr:rowOff>231775</xdr:rowOff>
    </xdr:from>
    <xdr:to>
      <xdr:col>3</xdr:col>
      <xdr:colOff>539750</xdr:colOff>
      <xdr:row>263</xdr:row>
      <xdr:rowOff>450850</xdr:rowOff>
    </xdr:to>
    <xdr:pic>
      <xdr:nvPicPr>
        <xdr:cNvPr id="6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37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263</xdr:row>
      <xdr:rowOff>228600</xdr:rowOff>
    </xdr:from>
    <xdr:to>
      <xdr:col>10</xdr:col>
      <xdr:colOff>260350</xdr:colOff>
      <xdr:row>263</xdr:row>
      <xdr:rowOff>447675</xdr:rowOff>
    </xdr:to>
    <xdr:pic>
      <xdr:nvPicPr>
        <xdr:cNvPr id="6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36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263</xdr:row>
      <xdr:rowOff>231775</xdr:rowOff>
    </xdr:from>
    <xdr:to>
      <xdr:col>10</xdr:col>
      <xdr:colOff>539750</xdr:colOff>
      <xdr:row>263</xdr:row>
      <xdr:rowOff>450850</xdr:rowOff>
    </xdr:to>
    <xdr:pic>
      <xdr:nvPicPr>
        <xdr:cNvPr id="6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37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263</xdr:row>
      <xdr:rowOff>228600</xdr:rowOff>
    </xdr:from>
    <xdr:to>
      <xdr:col>3</xdr:col>
      <xdr:colOff>260350</xdr:colOff>
      <xdr:row>263</xdr:row>
      <xdr:rowOff>447675</xdr:rowOff>
    </xdr:to>
    <xdr:pic>
      <xdr:nvPicPr>
        <xdr:cNvPr id="6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1636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263</xdr:row>
      <xdr:rowOff>231775</xdr:rowOff>
    </xdr:from>
    <xdr:to>
      <xdr:col>3</xdr:col>
      <xdr:colOff>539750</xdr:colOff>
      <xdr:row>263</xdr:row>
      <xdr:rowOff>450850</xdr:rowOff>
    </xdr:to>
    <xdr:pic>
      <xdr:nvPicPr>
        <xdr:cNvPr id="6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1637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263</xdr:row>
      <xdr:rowOff>228600</xdr:rowOff>
    </xdr:from>
    <xdr:to>
      <xdr:col>10</xdr:col>
      <xdr:colOff>260350</xdr:colOff>
      <xdr:row>263</xdr:row>
      <xdr:rowOff>447675</xdr:rowOff>
    </xdr:to>
    <xdr:pic>
      <xdr:nvPicPr>
        <xdr:cNvPr id="6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1636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263</xdr:row>
      <xdr:rowOff>231775</xdr:rowOff>
    </xdr:from>
    <xdr:to>
      <xdr:col>10</xdr:col>
      <xdr:colOff>539750</xdr:colOff>
      <xdr:row>263</xdr:row>
      <xdr:rowOff>450850</xdr:rowOff>
    </xdr:to>
    <xdr:pic>
      <xdr:nvPicPr>
        <xdr:cNvPr id="6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1637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6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752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6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8755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6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8752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6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8755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6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752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6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8755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6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752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6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8755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6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8752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6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8755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276</xdr:row>
      <xdr:rowOff>228600</xdr:rowOff>
    </xdr:from>
    <xdr:to>
      <xdr:col>3</xdr:col>
      <xdr:colOff>260350</xdr:colOff>
      <xdr:row>276</xdr:row>
      <xdr:rowOff>447675</xdr:rowOff>
    </xdr:to>
    <xdr:pic>
      <xdr:nvPicPr>
        <xdr:cNvPr id="6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28752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276</xdr:row>
      <xdr:rowOff>231775</xdr:rowOff>
    </xdr:from>
    <xdr:to>
      <xdr:col>3</xdr:col>
      <xdr:colOff>539750</xdr:colOff>
      <xdr:row>276</xdr:row>
      <xdr:rowOff>450850</xdr:rowOff>
    </xdr:to>
    <xdr:pic>
      <xdr:nvPicPr>
        <xdr:cNvPr id="6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28755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276</xdr:row>
      <xdr:rowOff>228600</xdr:rowOff>
    </xdr:from>
    <xdr:to>
      <xdr:col>10</xdr:col>
      <xdr:colOff>260350</xdr:colOff>
      <xdr:row>276</xdr:row>
      <xdr:rowOff>447675</xdr:rowOff>
    </xdr:to>
    <xdr:pic>
      <xdr:nvPicPr>
        <xdr:cNvPr id="6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287524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276</xdr:row>
      <xdr:rowOff>231775</xdr:rowOff>
    </xdr:from>
    <xdr:to>
      <xdr:col>10</xdr:col>
      <xdr:colOff>539750</xdr:colOff>
      <xdr:row>276</xdr:row>
      <xdr:rowOff>450850</xdr:rowOff>
    </xdr:to>
    <xdr:pic>
      <xdr:nvPicPr>
        <xdr:cNvPr id="6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287555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6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2314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6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2317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6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2314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6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2317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6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2314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6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2317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6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2314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6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2317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6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2314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6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2317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280</xdr:row>
      <xdr:rowOff>228600</xdr:rowOff>
    </xdr:from>
    <xdr:to>
      <xdr:col>3</xdr:col>
      <xdr:colOff>260350</xdr:colOff>
      <xdr:row>280</xdr:row>
      <xdr:rowOff>447675</xdr:rowOff>
    </xdr:to>
    <xdr:pic>
      <xdr:nvPicPr>
        <xdr:cNvPr id="6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2314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280</xdr:row>
      <xdr:rowOff>231775</xdr:rowOff>
    </xdr:from>
    <xdr:to>
      <xdr:col>3</xdr:col>
      <xdr:colOff>539750</xdr:colOff>
      <xdr:row>280</xdr:row>
      <xdr:rowOff>450850</xdr:rowOff>
    </xdr:to>
    <xdr:pic>
      <xdr:nvPicPr>
        <xdr:cNvPr id="6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2317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280</xdr:row>
      <xdr:rowOff>228600</xdr:rowOff>
    </xdr:from>
    <xdr:to>
      <xdr:col>10</xdr:col>
      <xdr:colOff>260350</xdr:colOff>
      <xdr:row>280</xdr:row>
      <xdr:rowOff>447675</xdr:rowOff>
    </xdr:to>
    <xdr:pic>
      <xdr:nvPicPr>
        <xdr:cNvPr id="6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23147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280</xdr:row>
      <xdr:rowOff>231775</xdr:rowOff>
    </xdr:from>
    <xdr:to>
      <xdr:col>10</xdr:col>
      <xdr:colOff>539750</xdr:colOff>
      <xdr:row>280</xdr:row>
      <xdr:rowOff>450850</xdr:rowOff>
    </xdr:to>
    <xdr:pic>
      <xdr:nvPicPr>
        <xdr:cNvPr id="6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23179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284</xdr:row>
      <xdr:rowOff>228600</xdr:rowOff>
    </xdr:from>
    <xdr:to>
      <xdr:col>3</xdr:col>
      <xdr:colOff>260350</xdr:colOff>
      <xdr:row>284</xdr:row>
      <xdr:rowOff>447675</xdr:rowOff>
    </xdr:to>
    <xdr:pic>
      <xdr:nvPicPr>
        <xdr:cNvPr id="6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56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284</xdr:row>
      <xdr:rowOff>231775</xdr:rowOff>
    </xdr:from>
    <xdr:to>
      <xdr:col>3</xdr:col>
      <xdr:colOff>539750</xdr:colOff>
      <xdr:row>284</xdr:row>
      <xdr:rowOff>450850</xdr:rowOff>
    </xdr:to>
    <xdr:pic>
      <xdr:nvPicPr>
        <xdr:cNvPr id="6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56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284</xdr:row>
      <xdr:rowOff>228600</xdr:rowOff>
    </xdr:from>
    <xdr:to>
      <xdr:col>10</xdr:col>
      <xdr:colOff>260350</xdr:colOff>
      <xdr:row>284</xdr:row>
      <xdr:rowOff>447675</xdr:rowOff>
    </xdr:to>
    <xdr:pic>
      <xdr:nvPicPr>
        <xdr:cNvPr id="6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56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284</xdr:row>
      <xdr:rowOff>231775</xdr:rowOff>
    </xdr:from>
    <xdr:to>
      <xdr:col>10</xdr:col>
      <xdr:colOff>539750</xdr:colOff>
      <xdr:row>284</xdr:row>
      <xdr:rowOff>450850</xdr:rowOff>
    </xdr:to>
    <xdr:pic>
      <xdr:nvPicPr>
        <xdr:cNvPr id="6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56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284</xdr:row>
      <xdr:rowOff>228600</xdr:rowOff>
    </xdr:from>
    <xdr:to>
      <xdr:col>3</xdr:col>
      <xdr:colOff>260350</xdr:colOff>
      <xdr:row>284</xdr:row>
      <xdr:rowOff>447675</xdr:rowOff>
    </xdr:to>
    <xdr:pic>
      <xdr:nvPicPr>
        <xdr:cNvPr id="6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56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284</xdr:row>
      <xdr:rowOff>231775</xdr:rowOff>
    </xdr:from>
    <xdr:to>
      <xdr:col>3</xdr:col>
      <xdr:colOff>539750</xdr:colOff>
      <xdr:row>284</xdr:row>
      <xdr:rowOff>450850</xdr:rowOff>
    </xdr:to>
    <xdr:pic>
      <xdr:nvPicPr>
        <xdr:cNvPr id="6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56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284</xdr:row>
      <xdr:rowOff>228600</xdr:rowOff>
    </xdr:from>
    <xdr:to>
      <xdr:col>3</xdr:col>
      <xdr:colOff>260350</xdr:colOff>
      <xdr:row>284</xdr:row>
      <xdr:rowOff>447675</xdr:rowOff>
    </xdr:to>
    <xdr:pic>
      <xdr:nvPicPr>
        <xdr:cNvPr id="6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56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284</xdr:row>
      <xdr:rowOff>231775</xdr:rowOff>
    </xdr:from>
    <xdr:to>
      <xdr:col>3</xdr:col>
      <xdr:colOff>539750</xdr:colOff>
      <xdr:row>284</xdr:row>
      <xdr:rowOff>450850</xdr:rowOff>
    </xdr:to>
    <xdr:pic>
      <xdr:nvPicPr>
        <xdr:cNvPr id="6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56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284</xdr:row>
      <xdr:rowOff>228600</xdr:rowOff>
    </xdr:from>
    <xdr:to>
      <xdr:col>10</xdr:col>
      <xdr:colOff>260350</xdr:colOff>
      <xdr:row>284</xdr:row>
      <xdr:rowOff>447675</xdr:rowOff>
    </xdr:to>
    <xdr:pic>
      <xdr:nvPicPr>
        <xdr:cNvPr id="6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56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284</xdr:row>
      <xdr:rowOff>231775</xdr:rowOff>
    </xdr:from>
    <xdr:to>
      <xdr:col>10</xdr:col>
      <xdr:colOff>539750</xdr:colOff>
      <xdr:row>284</xdr:row>
      <xdr:rowOff>450850</xdr:rowOff>
    </xdr:to>
    <xdr:pic>
      <xdr:nvPicPr>
        <xdr:cNvPr id="6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56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284</xdr:row>
      <xdr:rowOff>228600</xdr:rowOff>
    </xdr:from>
    <xdr:to>
      <xdr:col>3</xdr:col>
      <xdr:colOff>260350</xdr:colOff>
      <xdr:row>284</xdr:row>
      <xdr:rowOff>447675</xdr:rowOff>
    </xdr:to>
    <xdr:pic>
      <xdr:nvPicPr>
        <xdr:cNvPr id="6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56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284</xdr:row>
      <xdr:rowOff>231775</xdr:rowOff>
    </xdr:from>
    <xdr:to>
      <xdr:col>3</xdr:col>
      <xdr:colOff>539750</xdr:colOff>
      <xdr:row>284</xdr:row>
      <xdr:rowOff>450850</xdr:rowOff>
    </xdr:to>
    <xdr:pic>
      <xdr:nvPicPr>
        <xdr:cNvPr id="6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56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284</xdr:row>
      <xdr:rowOff>228600</xdr:rowOff>
    </xdr:from>
    <xdr:to>
      <xdr:col>10</xdr:col>
      <xdr:colOff>260350</xdr:colOff>
      <xdr:row>284</xdr:row>
      <xdr:rowOff>447675</xdr:rowOff>
    </xdr:to>
    <xdr:pic>
      <xdr:nvPicPr>
        <xdr:cNvPr id="6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56675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284</xdr:row>
      <xdr:rowOff>231775</xdr:rowOff>
    </xdr:from>
    <xdr:to>
      <xdr:col>10</xdr:col>
      <xdr:colOff>539750</xdr:colOff>
      <xdr:row>284</xdr:row>
      <xdr:rowOff>450850</xdr:rowOff>
    </xdr:to>
    <xdr:pic>
      <xdr:nvPicPr>
        <xdr:cNvPr id="6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56707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6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940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6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940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6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940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6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940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6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940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6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940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6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940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6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940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6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940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6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940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288</xdr:row>
      <xdr:rowOff>228600</xdr:rowOff>
    </xdr:from>
    <xdr:to>
      <xdr:col>3</xdr:col>
      <xdr:colOff>260350</xdr:colOff>
      <xdr:row>288</xdr:row>
      <xdr:rowOff>447675</xdr:rowOff>
    </xdr:to>
    <xdr:pic>
      <xdr:nvPicPr>
        <xdr:cNvPr id="6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23940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288</xdr:row>
      <xdr:rowOff>231775</xdr:rowOff>
    </xdr:from>
    <xdr:to>
      <xdr:col>3</xdr:col>
      <xdr:colOff>539750</xdr:colOff>
      <xdr:row>288</xdr:row>
      <xdr:rowOff>450850</xdr:rowOff>
    </xdr:to>
    <xdr:pic>
      <xdr:nvPicPr>
        <xdr:cNvPr id="6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23940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288</xdr:row>
      <xdr:rowOff>228600</xdr:rowOff>
    </xdr:from>
    <xdr:to>
      <xdr:col>10</xdr:col>
      <xdr:colOff>260350</xdr:colOff>
      <xdr:row>288</xdr:row>
      <xdr:rowOff>447675</xdr:rowOff>
    </xdr:to>
    <xdr:pic>
      <xdr:nvPicPr>
        <xdr:cNvPr id="6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2394013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288</xdr:row>
      <xdr:rowOff>231775</xdr:rowOff>
    </xdr:from>
    <xdr:to>
      <xdr:col>10</xdr:col>
      <xdr:colOff>539750</xdr:colOff>
      <xdr:row>288</xdr:row>
      <xdr:rowOff>450850</xdr:rowOff>
    </xdr:to>
    <xdr:pic>
      <xdr:nvPicPr>
        <xdr:cNvPr id="6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2394045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0</xdr:rowOff>
    </xdr:from>
    <xdr:to>
      <xdr:col>10</xdr:col>
      <xdr:colOff>260350</xdr:colOff>
      <xdr:row>144</xdr:row>
      <xdr:rowOff>0</xdr:rowOff>
    </xdr:to>
    <xdr:pic>
      <xdr:nvPicPr>
        <xdr:cNvPr id="6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3933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0</xdr:rowOff>
    </xdr:from>
    <xdr:to>
      <xdr:col>10</xdr:col>
      <xdr:colOff>539750</xdr:colOff>
      <xdr:row>144</xdr:row>
      <xdr:rowOff>0</xdr:rowOff>
    </xdr:to>
    <xdr:pic>
      <xdr:nvPicPr>
        <xdr:cNvPr id="6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3933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0</xdr:rowOff>
    </xdr:from>
    <xdr:to>
      <xdr:col>10</xdr:col>
      <xdr:colOff>260350</xdr:colOff>
      <xdr:row>144</xdr:row>
      <xdr:rowOff>0</xdr:rowOff>
    </xdr:to>
    <xdr:pic>
      <xdr:nvPicPr>
        <xdr:cNvPr id="6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3933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0</xdr:rowOff>
    </xdr:from>
    <xdr:to>
      <xdr:col>10</xdr:col>
      <xdr:colOff>539750</xdr:colOff>
      <xdr:row>144</xdr:row>
      <xdr:rowOff>0</xdr:rowOff>
    </xdr:to>
    <xdr:pic>
      <xdr:nvPicPr>
        <xdr:cNvPr id="6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3933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144</xdr:row>
      <xdr:rowOff>0</xdr:rowOff>
    </xdr:from>
    <xdr:to>
      <xdr:col>10</xdr:col>
      <xdr:colOff>260350</xdr:colOff>
      <xdr:row>144</xdr:row>
      <xdr:rowOff>0</xdr:rowOff>
    </xdr:to>
    <xdr:pic>
      <xdr:nvPicPr>
        <xdr:cNvPr id="6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3933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144</xdr:row>
      <xdr:rowOff>0</xdr:rowOff>
    </xdr:from>
    <xdr:to>
      <xdr:col>10</xdr:col>
      <xdr:colOff>539750</xdr:colOff>
      <xdr:row>144</xdr:row>
      <xdr:rowOff>0</xdr:rowOff>
    </xdr:to>
    <xdr:pic>
      <xdr:nvPicPr>
        <xdr:cNvPr id="6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3933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7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7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077325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7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077642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7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7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185</xdr:row>
      <xdr:rowOff>228600</xdr:rowOff>
    </xdr:from>
    <xdr:to>
      <xdr:col>10</xdr:col>
      <xdr:colOff>260350</xdr:colOff>
      <xdr:row>185</xdr:row>
      <xdr:rowOff>447675</xdr:rowOff>
    </xdr:to>
    <xdr:pic>
      <xdr:nvPicPr>
        <xdr:cNvPr id="7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185</xdr:row>
      <xdr:rowOff>231775</xdr:rowOff>
    </xdr:from>
    <xdr:to>
      <xdr:col>10</xdr:col>
      <xdr:colOff>539750</xdr:colOff>
      <xdr:row>185</xdr:row>
      <xdr:rowOff>450850</xdr:rowOff>
    </xdr:to>
    <xdr:pic>
      <xdr:nvPicPr>
        <xdr:cNvPr id="7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7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7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7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7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185</xdr:row>
      <xdr:rowOff>228600</xdr:rowOff>
    </xdr:from>
    <xdr:to>
      <xdr:col>10</xdr:col>
      <xdr:colOff>260350</xdr:colOff>
      <xdr:row>185</xdr:row>
      <xdr:rowOff>447675</xdr:rowOff>
    </xdr:to>
    <xdr:pic>
      <xdr:nvPicPr>
        <xdr:cNvPr id="7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185</xdr:row>
      <xdr:rowOff>231775</xdr:rowOff>
    </xdr:from>
    <xdr:to>
      <xdr:col>10</xdr:col>
      <xdr:colOff>539750</xdr:colOff>
      <xdr:row>185</xdr:row>
      <xdr:rowOff>450850</xdr:rowOff>
    </xdr:to>
    <xdr:pic>
      <xdr:nvPicPr>
        <xdr:cNvPr id="7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7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7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185</xdr:row>
      <xdr:rowOff>228600</xdr:rowOff>
    </xdr:from>
    <xdr:to>
      <xdr:col>10</xdr:col>
      <xdr:colOff>260350</xdr:colOff>
      <xdr:row>185</xdr:row>
      <xdr:rowOff>447675</xdr:rowOff>
    </xdr:to>
    <xdr:pic>
      <xdr:nvPicPr>
        <xdr:cNvPr id="7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04461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185</xdr:row>
      <xdr:rowOff>231775</xdr:rowOff>
    </xdr:from>
    <xdr:to>
      <xdr:col>10</xdr:col>
      <xdr:colOff>539750</xdr:colOff>
      <xdr:row>185</xdr:row>
      <xdr:rowOff>450850</xdr:rowOff>
    </xdr:to>
    <xdr:pic>
      <xdr:nvPicPr>
        <xdr:cNvPr id="7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04493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7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397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7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398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7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397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7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398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7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397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7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398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7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397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7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398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7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397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7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398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7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4397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7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4398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7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439799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7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439830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7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7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7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7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7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7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7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7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7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7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156</xdr:row>
      <xdr:rowOff>228600</xdr:rowOff>
    </xdr:from>
    <xdr:to>
      <xdr:col>3</xdr:col>
      <xdr:colOff>260350</xdr:colOff>
      <xdr:row>156</xdr:row>
      <xdr:rowOff>447675</xdr:rowOff>
    </xdr:to>
    <xdr:pic>
      <xdr:nvPicPr>
        <xdr:cNvPr id="7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156</xdr:row>
      <xdr:rowOff>231775</xdr:rowOff>
    </xdr:from>
    <xdr:to>
      <xdr:col>3</xdr:col>
      <xdr:colOff>539750</xdr:colOff>
      <xdr:row>156</xdr:row>
      <xdr:rowOff>450850</xdr:rowOff>
    </xdr:to>
    <xdr:pic>
      <xdr:nvPicPr>
        <xdr:cNvPr id="7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156</xdr:row>
      <xdr:rowOff>228600</xdr:rowOff>
    </xdr:from>
    <xdr:to>
      <xdr:col>10</xdr:col>
      <xdr:colOff>260350</xdr:colOff>
      <xdr:row>156</xdr:row>
      <xdr:rowOff>447675</xdr:rowOff>
    </xdr:to>
    <xdr:pic>
      <xdr:nvPicPr>
        <xdr:cNvPr id="7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12615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156</xdr:row>
      <xdr:rowOff>231775</xdr:rowOff>
    </xdr:from>
    <xdr:to>
      <xdr:col>10</xdr:col>
      <xdr:colOff>539750</xdr:colOff>
      <xdr:row>156</xdr:row>
      <xdr:rowOff>450850</xdr:rowOff>
    </xdr:to>
    <xdr:pic>
      <xdr:nvPicPr>
        <xdr:cNvPr id="7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12647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160</xdr:row>
      <xdr:rowOff>228600</xdr:rowOff>
    </xdr:from>
    <xdr:to>
      <xdr:col>3</xdr:col>
      <xdr:colOff>260350</xdr:colOff>
      <xdr:row>160</xdr:row>
      <xdr:rowOff>447675</xdr:rowOff>
    </xdr:to>
    <xdr:pic>
      <xdr:nvPicPr>
        <xdr:cNvPr id="7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5538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231775</xdr:rowOff>
    </xdr:from>
    <xdr:to>
      <xdr:col>3</xdr:col>
      <xdr:colOff>539750</xdr:colOff>
      <xdr:row>160</xdr:row>
      <xdr:rowOff>450850</xdr:rowOff>
    </xdr:to>
    <xdr:pic>
      <xdr:nvPicPr>
        <xdr:cNvPr id="7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5541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160</xdr:row>
      <xdr:rowOff>228600</xdr:rowOff>
    </xdr:from>
    <xdr:to>
      <xdr:col>10</xdr:col>
      <xdr:colOff>260350</xdr:colOff>
      <xdr:row>160</xdr:row>
      <xdr:rowOff>447675</xdr:rowOff>
    </xdr:to>
    <xdr:pic>
      <xdr:nvPicPr>
        <xdr:cNvPr id="7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5538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160</xdr:row>
      <xdr:rowOff>231775</xdr:rowOff>
    </xdr:from>
    <xdr:to>
      <xdr:col>10</xdr:col>
      <xdr:colOff>539750</xdr:colOff>
      <xdr:row>160</xdr:row>
      <xdr:rowOff>450850</xdr:rowOff>
    </xdr:to>
    <xdr:pic>
      <xdr:nvPicPr>
        <xdr:cNvPr id="7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5541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160</xdr:row>
      <xdr:rowOff>228600</xdr:rowOff>
    </xdr:from>
    <xdr:to>
      <xdr:col>3</xdr:col>
      <xdr:colOff>260350</xdr:colOff>
      <xdr:row>160</xdr:row>
      <xdr:rowOff>447675</xdr:rowOff>
    </xdr:to>
    <xdr:pic>
      <xdr:nvPicPr>
        <xdr:cNvPr id="7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5538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231775</xdr:rowOff>
    </xdr:from>
    <xdr:to>
      <xdr:col>3</xdr:col>
      <xdr:colOff>539750</xdr:colOff>
      <xdr:row>160</xdr:row>
      <xdr:rowOff>450850</xdr:rowOff>
    </xdr:to>
    <xdr:pic>
      <xdr:nvPicPr>
        <xdr:cNvPr id="7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5541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160</xdr:row>
      <xdr:rowOff>228600</xdr:rowOff>
    </xdr:from>
    <xdr:to>
      <xdr:col>3</xdr:col>
      <xdr:colOff>260350</xdr:colOff>
      <xdr:row>160</xdr:row>
      <xdr:rowOff>447675</xdr:rowOff>
    </xdr:to>
    <xdr:pic>
      <xdr:nvPicPr>
        <xdr:cNvPr id="7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5538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231775</xdr:rowOff>
    </xdr:from>
    <xdr:to>
      <xdr:col>3</xdr:col>
      <xdr:colOff>539750</xdr:colOff>
      <xdr:row>160</xdr:row>
      <xdr:rowOff>450850</xdr:rowOff>
    </xdr:to>
    <xdr:pic>
      <xdr:nvPicPr>
        <xdr:cNvPr id="7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5541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160</xdr:row>
      <xdr:rowOff>228600</xdr:rowOff>
    </xdr:from>
    <xdr:to>
      <xdr:col>10</xdr:col>
      <xdr:colOff>260350</xdr:colOff>
      <xdr:row>160</xdr:row>
      <xdr:rowOff>447675</xdr:rowOff>
    </xdr:to>
    <xdr:pic>
      <xdr:nvPicPr>
        <xdr:cNvPr id="7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5538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160</xdr:row>
      <xdr:rowOff>231775</xdr:rowOff>
    </xdr:from>
    <xdr:to>
      <xdr:col>10</xdr:col>
      <xdr:colOff>539750</xdr:colOff>
      <xdr:row>160</xdr:row>
      <xdr:rowOff>450850</xdr:rowOff>
    </xdr:to>
    <xdr:pic>
      <xdr:nvPicPr>
        <xdr:cNvPr id="7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5541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160</xdr:row>
      <xdr:rowOff>228600</xdr:rowOff>
    </xdr:from>
    <xdr:to>
      <xdr:col>3</xdr:col>
      <xdr:colOff>260350</xdr:colOff>
      <xdr:row>160</xdr:row>
      <xdr:rowOff>447675</xdr:rowOff>
    </xdr:to>
    <xdr:pic>
      <xdr:nvPicPr>
        <xdr:cNvPr id="7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15538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231775</xdr:rowOff>
    </xdr:from>
    <xdr:to>
      <xdr:col>3</xdr:col>
      <xdr:colOff>539750</xdr:colOff>
      <xdr:row>160</xdr:row>
      <xdr:rowOff>450850</xdr:rowOff>
    </xdr:to>
    <xdr:pic>
      <xdr:nvPicPr>
        <xdr:cNvPr id="7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15541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160</xdr:row>
      <xdr:rowOff>228600</xdr:rowOff>
    </xdr:from>
    <xdr:to>
      <xdr:col>10</xdr:col>
      <xdr:colOff>260350</xdr:colOff>
      <xdr:row>160</xdr:row>
      <xdr:rowOff>447675</xdr:rowOff>
    </xdr:to>
    <xdr:pic>
      <xdr:nvPicPr>
        <xdr:cNvPr id="7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1553825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160</xdr:row>
      <xdr:rowOff>231775</xdr:rowOff>
    </xdr:from>
    <xdr:to>
      <xdr:col>10</xdr:col>
      <xdr:colOff>539750</xdr:colOff>
      <xdr:row>160</xdr:row>
      <xdr:rowOff>450850</xdr:rowOff>
    </xdr:to>
    <xdr:pic>
      <xdr:nvPicPr>
        <xdr:cNvPr id="7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1554142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0</xdr:rowOff>
    </xdr:from>
    <xdr:to>
      <xdr:col>3</xdr:col>
      <xdr:colOff>260350</xdr:colOff>
      <xdr:row>144</xdr:row>
      <xdr:rowOff>0</xdr:rowOff>
    </xdr:to>
    <xdr:pic>
      <xdr:nvPicPr>
        <xdr:cNvPr id="7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93933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0</xdr:rowOff>
    </xdr:from>
    <xdr:to>
      <xdr:col>3</xdr:col>
      <xdr:colOff>539750</xdr:colOff>
      <xdr:row>144</xdr:row>
      <xdr:rowOff>0</xdr:rowOff>
    </xdr:to>
    <xdr:pic>
      <xdr:nvPicPr>
        <xdr:cNvPr id="7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93933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0</xdr:rowOff>
    </xdr:from>
    <xdr:to>
      <xdr:col>3</xdr:col>
      <xdr:colOff>260350</xdr:colOff>
      <xdr:row>144</xdr:row>
      <xdr:rowOff>0</xdr:rowOff>
    </xdr:to>
    <xdr:pic>
      <xdr:nvPicPr>
        <xdr:cNvPr id="7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93933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0</xdr:rowOff>
    </xdr:from>
    <xdr:to>
      <xdr:col>3</xdr:col>
      <xdr:colOff>539750</xdr:colOff>
      <xdr:row>144</xdr:row>
      <xdr:rowOff>0</xdr:rowOff>
    </xdr:to>
    <xdr:pic>
      <xdr:nvPicPr>
        <xdr:cNvPr id="7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93933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0</xdr:rowOff>
    </xdr:from>
    <xdr:to>
      <xdr:col>3</xdr:col>
      <xdr:colOff>260350</xdr:colOff>
      <xdr:row>144</xdr:row>
      <xdr:rowOff>0</xdr:rowOff>
    </xdr:to>
    <xdr:pic>
      <xdr:nvPicPr>
        <xdr:cNvPr id="76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93933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0</xdr:rowOff>
    </xdr:from>
    <xdr:to>
      <xdr:col>3</xdr:col>
      <xdr:colOff>539750</xdr:colOff>
      <xdr:row>144</xdr:row>
      <xdr:rowOff>0</xdr:rowOff>
    </xdr:to>
    <xdr:pic>
      <xdr:nvPicPr>
        <xdr:cNvPr id="76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93933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144</xdr:row>
      <xdr:rowOff>0</xdr:rowOff>
    </xdr:from>
    <xdr:to>
      <xdr:col>3</xdr:col>
      <xdr:colOff>260350</xdr:colOff>
      <xdr:row>144</xdr:row>
      <xdr:rowOff>0</xdr:rowOff>
    </xdr:to>
    <xdr:pic>
      <xdr:nvPicPr>
        <xdr:cNvPr id="76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939337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144</xdr:row>
      <xdr:rowOff>0</xdr:rowOff>
    </xdr:from>
    <xdr:to>
      <xdr:col>3</xdr:col>
      <xdr:colOff>539750</xdr:colOff>
      <xdr:row>144</xdr:row>
      <xdr:rowOff>0</xdr:rowOff>
    </xdr:to>
    <xdr:pic>
      <xdr:nvPicPr>
        <xdr:cNvPr id="76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939337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139</xdr:row>
      <xdr:rowOff>228600</xdr:rowOff>
    </xdr:from>
    <xdr:to>
      <xdr:col>3</xdr:col>
      <xdr:colOff>260350</xdr:colOff>
      <xdr:row>139</xdr:row>
      <xdr:rowOff>447675</xdr:rowOff>
    </xdr:to>
    <xdr:pic>
      <xdr:nvPicPr>
        <xdr:cNvPr id="76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139</xdr:row>
      <xdr:rowOff>231775</xdr:rowOff>
    </xdr:from>
    <xdr:to>
      <xdr:col>3</xdr:col>
      <xdr:colOff>539750</xdr:colOff>
      <xdr:row>139</xdr:row>
      <xdr:rowOff>450850</xdr:rowOff>
    </xdr:to>
    <xdr:pic>
      <xdr:nvPicPr>
        <xdr:cNvPr id="76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6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7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139</xdr:row>
      <xdr:rowOff>228600</xdr:rowOff>
    </xdr:from>
    <xdr:to>
      <xdr:col>3</xdr:col>
      <xdr:colOff>260350</xdr:colOff>
      <xdr:row>139</xdr:row>
      <xdr:rowOff>447675</xdr:rowOff>
    </xdr:to>
    <xdr:pic>
      <xdr:nvPicPr>
        <xdr:cNvPr id="77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139</xdr:row>
      <xdr:rowOff>231775</xdr:rowOff>
    </xdr:from>
    <xdr:to>
      <xdr:col>3</xdr:col>
      <xdr:colOff>539750</xdr:colOff>
      <xdr:row>139</xdr:row>
      <xdr:rowOff>450850</xdr:rowOff>
    </xdr:to>
    <xdr:pic>
      <xdr:nvPicPr>
        <xdr:cNvPr id="77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139</xdr:row>
      <xdr:rowOff>228600</xdr:rowOff>
    </xdr:from>
    <xdr:to>
      <xdr:col>3</xdr:col>
      <xdr:colOff>260350</xdr:colOff>
      <xdr:row>139</xdr:row>
      <xdr:rowOff>447675</xdr:rowOff>
    </xdr:to>
    <xdr:pic>
      <xdr:nvPicPr>
        <xdr:cNvPr id="7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139</xdr:row>
      <xdr:rowOff>231775</xdr:rowOff>
    </xdr:from>
    <xdr:to>
      <xdr:col>3</xdr:col>
      <xdr:colOff>539750</xdr:colOff>
      <xdr:row>139</xdr:row>
      <xdr:rowOff>450850</xdr:rowOff>
    </xdr:to>
    <xdr:pic>
      <xdr:nvPicPr>
        <xdr:cNvPr id="77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7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139</xdr:row>
      <xdr:rowOff>228600</xdr:rowOff>
    </xdr:from>
    <xdr:to>
      <xdr:col>3</xdr:col>
      <xdr:colOff>260350</xdr:colOff>
      <xdr:row>139</xdr:row>
      <xdr:rowOff>447675</xdr:rowOff>
    </xdr:to>
    <xdr:pic>
      <xdr:nvPicPr>
        <xdr:cNvPr id="7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139</xdr:row>
      <xdr:rowOff>231775</xdr:rowOff>
    </xdr:from>
    <xdr:to>
      <xdr:col>3</xdr:col>
      <xdr:colOff>539750</xdr:colOff>
      <xdr:row>139</xdr:row>
      <xdr:rowOff>450850</xdr:rowOff>
    </xdr:to>
    <xdr:pic>
      <xdr:nvPicPr>
        <xdr:cNvPr id="7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7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49356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7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49388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7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8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8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8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8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8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148</xdr:row>
      <xdr:rowOff>228600</xdr:rowOff>
    </xdr:from>
    <xdr:to>
      <xdr:col>3</xdr:col>
      <xdr:colOff>260350</xdr:colOff>
      <xdr:row>148</xdr:row>
      <xdr:rowOff>447675</xdr:rowOff>
    </xdr:to>
    <xdr:pic>
      <xdr:nvPicPr>
        <xdr:cNvPr id="8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148</xdr:row>
      <xdr:rowOff>231775</xdr:rowOff>
    </xdr:from>
    <xdr:to>
      <xdr:col>3</xdr:col>
      <xdr:colOff>539750</xdr:colOff>
      <xdr:row>148</xdr:row>
      <xdr:rowOff>450850</xdr:rowOff>
    </xdr:to>
    <xdr:pic>
      <xdr:nvPicPr>
        <xdr:cNvPr id="8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2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2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2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2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148</xdr:row>
      <xdr:rowOff>228600</xdr:rowOff>
    </xdr:from>
    <xdr:to>
      <xdr:col>10</xdr:col>
      <xdr:colOff>260350</xdr:colOff>
      <xdr:row>148</xdr:row>
      <xdr:rowOff>447675</xdr:rowOff>
    </xdr:to>
    <xdr:pic>
      <xdr:nvPicPr>
        <xdr:cNvPr id="82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103108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148</xdr:row>
      <xdr:rowOff>231775</xdr:rowOff>
    </xdr:from>
    <xdr:to>
      <xdr:col>10</xdr:col>
      <xdr:colOff>539750</xdr:colOff>
      <xdr:row>148</xdr:row>
      <xdr:rowOff>450850</xdr:rowOff>
    </xdr:to>
    <xdr:pic>
      <xdr:nvPicPr>
        <xdr:cNvPr id="83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103111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83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8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3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3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83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83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83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83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3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4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84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840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84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5922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4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4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4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4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4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4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5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5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5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5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5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5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5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5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5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6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86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023850" y="99098100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86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3274675" y="99101275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320675</xdr:colOff>
      <xdr:row>408</xdr:row>
      <xdr:rowOff>0</xdr:rowOff>
    </xdr:from>
    <xdr:to>
      <xdr:col>3</xdr:col>
      <xdr:colOff>539750</xdr:colOff>
      <xdr:row>408</xdr:row>
      <xdr:rowOff>0</xdr:rowOff>
    </xdr:to>
    <xdr:pic>
      <xdr:nvPicPr>
        <xdr:cNvPr id="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408</xdr:row>
      <xdr:rowOff>0</xdr:rowOff>
    </xdr:from>
    <xdr:to>
      <xdr:col>10</xdr:col>
      <xdr:colOff>539750</xdr:colOff>
      <xdr:row>408</xdr:row>
      <xdr:rowOff>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</xdr:row>
      <xdr:rowOff>228600</xdr:rowOff>
    </xdr:from>
    <xdr:to>
      <xdr:col>10</xdr:col>
      <xdr:colOff>260350</xdr:colOff>
      <xdr:row>14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3438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</xdr:row>
      <xdr:rowOff>231775</xdr:rowOff>
    </xdr:from>
    <xdr:to>
      <xdr:col>10</xdr:col>
      <xdr:colOff>539750</xdr:colOff>
      <xdr:row>14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3441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</xdr:row>
      <xdr:rowOff>228600</xdr:rowOff>
    </xdr:from>
    <xdr:to>
      <xdr:col>10</xdr:col>
      <xdr:colOff>260350</xdr:colOff>
      <xdr:row>18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406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</xdr:row>
      <xdr:rowOff>231775</xdr:rowOff>
    </xdr:from>
    <xdr:to>
      <xdr:col>10</xdr:col>
      <xdr:colOff>539750</xdr:colOff>
      <xdr:row>18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407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</xdr:row>
      <xdr:rowOff>228600</xdr:rowOff>
    </xdr:from>
    <xdr:to>
      <xdr:col>10</xdr:col>
      <xdr:colOff>260350</xdr:colOff>
      <xdr:row>22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4695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</xdr:row>
      <xdr:rowOff>231775</xdr:rowOff>
    </xdr:from>
    <xdr:to>
      <xdr:col>10</xdr:col>
      <xdr:colOff>539750</xdr:colOff>
      <xdr:row>22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4699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</xdr:row>
      <xdr:rowOff>228600</xdr:rowOff>
    </xdr:from>
    <xdr:to>
      <xdr:col>10</xdr:col>
      <xdr:colOff>260350</xdr:colOff>
      <xdr:row>26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532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</xdr:row>
      <xdr:rowOff>231775</xdr:rowOff>
    </xdr:from>
    <xdr:to>
      <xdr:col>10</xdr:col>
      <xdr:colOff>539750</xdr:colOff>
      <xdr:row>26</xdr:row>
      <xdr:rowOff>450850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532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</xdr:row>
      <xdr:rowOff>228600</xdr:rowOff>
    </xdr:from>
    <xdr:to>
      <xdr:col>10</xdr:col>
      <xdr:colOff>260350</xdr:colOff>
      <xdr:row>29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5953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</xdr:row>
      <xdr:rowOff>231775</xdr:rowOff>
    </xdr:from>
    <xdr:to>
      <xdr:col>10</xdr:col>
      <xdr:colOff>539750</xdr:colOff>
      <xdr:row>29</xdr:row>
      <xdr:rowOff>450850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5956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</xdr:row>
      <xdr:rowOff>228600</xdr:rowOff>
    </xdr:from>
    <xdr:to>
      <xdr:col>10</xdr:col>
      <xdr:colOff>260350</xdr:colOff>
      <xdr:row>32</xdr:row>
      <xdr:rowOff>447675</xdr:rowOff>
    </xdr:to>
    <xdr:pic>
      <xdr:nvPicPr>
        <xdr:cNvPr id="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65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</xdr:row>
      <xdr:rowOff>231775</xdr:rowOff>
    </xdr:from>
    <xdr:to>
      <xdr:col>10</xdr:col>
      <xdr:colOff>539750</xdr:colOff>
      <xdr:row>32</xdr:row>
      <xdr:rowOff>450850</xdr:rowOff>
    </xdr:to>
    <xdr:pic>
      <xdr:nvPicPr>
        <xdr:cNvPr id="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65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36</xdr:row>
      <xdr:rowOff>228600</xdr:rowOff>
    </xdr:from>
    <xdr:to>
      <xdr:col>10</xdr:col>
      <xdr:colOff>260350</xdr:colOff>
      <xdr:row>36</xdr:row>
      <xdr:rowOff>447675</xdr:rowOff>
    </xdr:to>
    <xdr:pic>
      <xdr:nvPicPr>
        <xdr:cNvPr id="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36</xdr:row>
      <xdr:rowOff>231775</xdr:rowOff>
    </xdr:from>
    <xdr:to>
      <xdr:col>10</xdr:col>
      <xdr:colOff>539750</xdr:colOff>
      <xdr:row>36</xdr:row>
      <xdr:rowOff>450850</xdr:rowOff>
    </xdr:to>
    <xdr:pic>
      <xdr:nvPicPr>
        <xdr:cNvPr id="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</xdr:row>
      <xdr:rowOff>228600</xdr:rowOff>
    </xdr:from>
    <xdr:to>
      <xdr:col>10</xdr:col>
      <xdr:colOff>260350</xdr:colOff>
      <xdr:row>40</xdr:row>
      <xdr:rowOff>447675</xdr:rowOff>
    </xdr:to>
    <xdr:pic>
      <xdr:nvPicPr>
        <xdr:cNvPr id="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</xdr:row>
      <xdr:rowOff>231775</xdr:rowOff>
    </xdr:from>
    <xdr:to>
      <xdr:col>10</xdr:col>
      <xdr:colOff>539750</xdr:colOff>
      <xdr:row>40</xdr:row>
      <xdr:rowOff>450850</xdr:rowOff>
    </xdr:to>
    <xdr:pic>
      <xdr:nvPicPr>
        <xdr:cNvPr id="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44</xdr:row>
      <xdr:rowOff>228600</xdr:rowOff>
    </xdr:from>
    <xdr:to>
      <xdr:col>10</xdr:col>
      <xdr:colOff>260350</xdr:colOff>
      <xdr:row>44</xdr:row>
      <xdr:rowOff>447675</xdr:rowOff>
    </xdr:to>
    <xdr:pic>
      <xdr:nvPicPr>
        <xdr:cNvPr id="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44</xdr:row>
      <xdr:rowOff>231775</xdr:rowOff>
    </xdr:from>
    <xdr:to>
      <xdr:col>10</xdr:col>
      <xdr:colOff>539750</xdr:colOff>
      <xdr:row>44</xdr:row>
      <xdr:rowOff>450850</xdr:rowOff>
    </xdr:to>
    <xdr:pic>
      <xdr:nvPicPr>
        <xdr:cNvPr id="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48</xdr:row>
      <xdr:rowOff>228600</xdr:rowOff>
    </xdr:from>
    <xdr:to>
      <xdr:col>10</xdr:col>
      <xdr:colOff>260350</xdr:colOff>
      <xdr:row>48</xdr:row>
      <xdr:rowOff>447675</xdr:rowOff>
    </xdr:to>
    <xdr:pic>
      <xdr:nvPicPr>
        <xdr:cNvPr id="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48</xdr:row>
      <xdr:rowOff>231775</xdr:rowOff>
    </xdr:from>
    <xdr:to>
      <xdr:col>10</xdr:col>
      <xdr:colOff>539750</xdr:colOff>
      <xdr:row>48</xdr:row>
      <xdr:rowOff>450850</xdr:rowOff>
    </xdr:to>
    <xdr:pic>
      <xdr:nvPicPr>
        <xdr:cNvPr id="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52</xdr:row>
      <xdr:rowOff>228600</xdr:rowOff>
    </xdr:from>
    <xdr:to>
      <xdr:col>10</xdr:col>
      <xdr:colOff>260350</xdr:colOff>
      <xdr:row>52</xdr:row>
      <xdr:rowOff>447675</xdr:rowOff>
    </xdr:to>
    <xdr:pic>
      <xdr:nvPicPr>
        <xdr:cNvPr id="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52</xdr:row>
      <xdr:rowOff>231775</xdr:rowOff>
    </xdr:from>
    <xdr:to>
      <xdr:col>10</xdr:col>
      <xdr:colOff>539750</xdr:colOff>
      <xdr:row>52</xdr:row>
      <xdr:rowOff>450850</xdr:rowOff>
    </xdr:to>
    <xdr:pic>
      <xdr:nvPicPr>
        <xdr:cNvPr id="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60</xdr:row>
      <xdr:rowOff>228600</xdr:rowOff>
    </xdr:from>
    <xdr:to>
      <xdr:col>10</xdr:col>
      <xdr:colOff>260350</xdr:colOff>
      <xdr:row>60</xdr:row>
      <xdr:rowOff>447675</xdr:rowOff>
    </xdr:to>
    <xdr:pic>
      <xdr:nvPicPr>
        <xdr:cNvPr id="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60</xdr:row>
      <xdr:rowOff>231775</xdr:rowOff>
    </xdr:from>
    <xdr:to>
      <xdr:col>10</xdr:col>
      <xdr:colOff>539750</xdr:colOff>
      <xdr:row>60</xdr:row>
      <xdr:rowOff>450850</xdr:rowOff>
    </xdr:to>
    <xdr:pic>
      <xdr:nvPicPr>
        <xdr:cNvPr id="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64</xdr:row>
      <xdr:rowOff>228600</xdr:rowOff>
    </xdr:from>
    <xdr:to>
      <xdr:col>10</xdr:col>
      <xdr:colOff>260350</xdr:colOff>
      <xdr:row>64</xdr:row>
      <xdr:rowOff>447675</xdr:rowOff>
    </xdr:to>
    <xdr:pic>
      <xdr:nvPicPr>
        <xdr:cNvPr id="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64</xdr:row>
      <xdr:rowOff>231775</xdr:rowOff>
    </xdr:from>
    <xdr:to>
      <xdr:col>10</xdr:col>
      <xdr:colOff>539750</xdr:colOff>
      <xdr:row>64</xdr:row>
      <xdr:rowOff>450850</xdr:rowOff>
    </xdr:to>
    <xdr:pic>
      <xdr:nvPicPr>
        <xdr:cNvPr id="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68</xdr:row>
      <xdr:rowOff>228600</xdr:rowOff>
    </xdr:from>
    <xdr:to>
      <xdr:col>10</xdr:col>
      <xdr:colOff>260350</xdr:colOff>
      <xdr:row>68</xdr:row>
      <xdr:rowOff>447675</xdr:rowOff>
    </xdr:to>
    <xdr:pic>
      <xdr:nvPicPr>
        <xdr:cNvPr id="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68</xdr:row>
      <xdr:rowOff>231775</xdr:rowOff>
    </xdr:from>
    <xdr:to>
      <xdr:col>10</xdr:col>
      <xdr:colOff>539750</xdr:colOff>
      <xdr:row>68</xdr:row>
      <xdr:rowOff>450850</xdr:rowOff>
    </xdr:to>
    <xdr:pic>
      <xdr:nvPicPr>
        <xdr:cNvPr id="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72</xdr:row>
      <xdr:rowOff>228600</xdr:rowOff>
    </xdr:from>
    <xdr:to>
      <xdr:col>10</xdr:col>
      <xdr:colOff>260350</xdr:colOff>
      <xdr:row>72</xdr:row>
      <xdr:rowOff>447675</xdr:rowOff>
    </xdr:to>
    <xdr:pic>
      <xdr:nvPicPr>
        <xdr:cNvPr id="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72</xdr:row>
      <xdr:rowOff>231775</xdr:rowOff>
    </xdr:from>
    <xdr:to>
      <xdr:col>10</xdr:col>
      <xdr:colOff>539750</xdr:colOff>
      <xdr:row>72</xdr:row>
      <xdr:rowOff>450850</xdr:rowOff>
    </xdr:to>
    <xdr:pic>
      <xdr:nvPicPr>
        <xdr:cNvPr id="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76</xdr:row>
      <xdr:rowOff>228600</xdr:rowOff>
    </xdr:from>
    <xdr:to>
      <xdr:col>10</xdr:col>
      <xdr:colOff>260350</xdr:colOff>
      <xdr:row>76</xdr:row>
      <xdr:rowOff>447675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76</xdr:row>
      <xdr:rowOff>231775</xdr:rowOff>
    </xdr:from>
    <xdr:to>
      <xdr:col>10</xdr:col>
      <xdr:colOff>539750</xdr:colOff>
      <xdr:row>76</xdr:row>
      <xdr:rowOff>450850</xdr:rowOff>
    </xdr:to>
    <xdr:pic>
      <xdr:nvPicPr>
        <xdr:cNvPr id="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79</xdr:row>
      <xdr:rowOff>228600</xdr:rowOff>
    </xdr:from>
    <xdr:to>
      <xdr:col>10</xdr:col>
      <xdr:colOff>260350</xdr:colOff>
      <xdr:row>79</xdr:row>
      <xdr:rowOff>447675</xdr:rowOff>
    </xdr:to>
    <xdr:pic>
      <xdr:nvPicPr>
        <xdr:cNvPr id="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79</xdr:row>
      <xdr:rowOff>231775</xdr:rowOff>
    </xdr:from>
    <xdr:to>
      <xdr:col>10</xdr:col>
      <xdr:colOff>539750</xdr:colOff>
      <xdr:row>79</xdr:row>
      <xdr:rowOff>450850</xdr:rowOff>
    </xdr:to>
    <xdr:pic>
      <xdr:nvPicPr>
        <xdr:cNvPr id="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82</xdr:row>
      <xdr:rowOff>228600</xdr:rowOff>
    </xdr:from>
    <xdr:to>
      <xdr:col>10</xdr:col>
      <xdr:colOff>260350</xdr:colOff>
      <xdr:row>82</xdr:row>
      <xdr:rowOff>447675</xdr:rowOff>
    </xdr:to>
    <xdr:pic>
      <xdr:nvPicPr>
        <xdr:cNvPr id="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82</xdr:row>
      <xdr:rowOff>231775</xdr:rowOff>
    </xdr:from>
    <xdr:to>
      <xdr:col>10</xdr:col>
      <xdr:colOff>539750</xdr:colOff>
      <xdr:row>82</xdr:row>
      <xdr:rowOff>450850</xdr:rowOff>
    </xdr:to>
    <xdr:pic>
      <xdr:nvPicPr>
        <xdr:cNvPr id="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85</xdr:row>
      <xdr:rowOff>228600</xdr:rowOff>
    </xdr:from>
    <xdr:to>
      <xdr:col>10</xdr:col>
      <xdr:colOff>260350</xdr:colOff>
      <xdr:row>85</xdr:row>
      <xdr:rowOff>447675</xdr:rowOff>
    </xdr:to>
    <xdr:pic>
      <xdr:nvPicPr>
        <xdr:cNvPr id="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85</xdr:row>
      <xdr:rowOff>231775</xdr:rowOff>
    </xdr:from>
    <xdr:to>
      <xdr:col>10</xdr:col>
      <xdr:colOff>539750</xdr:colOff>
      <xdr:row>85</xdr:row>
      <xdr:rowOff>450850</xdr:rowOff>
    </xdr:to>
    <xdr:pic>
      <xdr:nvPicPr>
        <xdr:cNvPr id="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89</xdr:row>
      <xdr:rowOff>228600</xdr:rowOff>
    </xdr:from>
    <xdr:to>
      <xdr:col>10</xdr:col>
      <xdr:colOff>260350</xdr:colOff>
      <xdr:row>89</xdr:row>
      <xdr:rowOff>447675</xdr:rowOff>
    </xdr:to>
    <xdr:pic>
      <xdr:nvPicPr>
        <xdr:cNvPr id="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89</xdr:row>
      <xdr:rowOff>231775</xdr:rowOff>
    </xdr:from>
    <xdr:to>
      <xdr:col>10</xdr:col>
      <xdr:colOff>539750</xdr:colOff>
      <xdr:row>89</xdr:row>
      <xdr:rowOff>450850</xdr:rowOff>
    </xdr:to>
    <xdr:pic>
      <xdr:nvPicPr>
        <xdr:cNvPr id="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93</xdr:row>
      <xdr:rowOff>228600</xdr:rowOff>
    </xdr:from>
    <xdr:to>
      <xdr:col>10</xdr:col>
      <xdr:colOff>260350</xdr:colOff>
      <xdr:row>93</xdr:row>
      <xdr:rowOff>447675</xdr:rowOff>
    </xdr:to>
    <xdr:pic>
      <xdr:nvPicPr>
        <xdr:cNvPr id="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93</xdr:row>
      <xdr:rowOff>231775</xdr:rowOff>
    </xdr:from>
    <xdr:to>
      <xdr:col>10</xdr:col>
      <xdr:colOff>539750</xdr:colOff>
      <xdr:row>93</xdr:row>
      <xdr:rowOff>450850</xdr:rowOff>
    </xdr:to>
    <xdr:pic>
      <xdr:nvPicPr>
        <xdr:cNvPr id="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97</xdr:row>
      <xdr:rowOff>228600</xdr:rowOff>
    </xdr:from>
    <xdr:to>
      <xdr:col>10</xdr:col>
      <xdr:colOff>260350</xdr:colOff>
      <xdr:row>97</xdr:row>
      <xdr:rowOff>447675</xdr:rowOff>
    </xdr:to>
    <xdr:pic>
      <xdr:nvPicPr>
        <xdr:cNvPr id="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97</xdr:row>
      <xdr:rowOff>231775</xdr:rowOff>
    </xdr:from>
    <xdr:to>
      <xdr:col>10</xdr:col>
      <xdr:colOff>539750</xdr:colOff>
      <xdr:row>97</xdr:row>
      <xdr:rowOff>450850</xdr:rowOff>
    </xdr:to>
    <xdr:pic>
      <xdr:nvPicPr>
        <xdr:cNvPr id="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101</xdr:row>
      <xdr:rowOff>228600</xdr:rowOff>
    </xdr:from>
    <xdr:to>
      <xdr:col>10</xdr:col>
      <xdr:colOff>260350</xdr:colOff>
      <xdr:row>101</xdr:row>
      <xdr:rowOff>447675</xdr:rowOff>
    </xdr:to>
    <xdr:pic>
      <xdr:nvPicPr>
        <xdr:cNvPr id="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101</xdr:row>
      <xdr:rowOff>231775</xdr:rowOff>
    </xdr:from>
    <xdr:to>
      <xdr:col>10</xdr:col>
      <xdr:colOff>539750</xdr:colOff>
      <xdr:row>101</xdr:row>
      <xdr:rowOff>450850</xdr:rowOff>
    </xdr:to>
    <xdr:pic>
      <xdr:nvPicPr>
        <xdr:cNvPr id="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105</xdr:row>
      <xdr:rowOff>228600</xdr:rowOff>
    </xdr:from>
    <xdr:to>
      <xdr:col>10</xdr:col>
      <xdr:colOff>260350</xdr:colOff>
      <xdr:row>105</xdr:row>
      <xdr:rowOff>447675</xdr:rowOff>
    </xdr:to>
    <xdr:pic>
      <xdr:nvPicPr>
        <xdr:cNvPr id="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105</xdr:row>
      <xdr:rowOff>231775</xdr:rowOff>
    </xdr:from>
    <xdr:to>
      <xdr:col>10</xdr:col>
      <xdr:colOff>539750</xdr:colOff>
      <xdr:row>105</xdr:row>
      <xdr:rowOff>450850</xdr:rowOff>
    </xdr:to>
    <xdr:pic>
      <xdr:nvPicPr>
        <xdr:cNvPr id="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109</xdr:row>
      <xdr:rowOff>228600</xdr:rowOff>
    </xdr:from>
    <xdr:to>
      <xdr:col>10</xdr:col>
      <xdr:colOff>260350</xdr:colOff>
      <xdr:row>109</xdr:row>
      <xdr:rowOff>447675</xdr:rowOff>
    </xdr:to>
    <xdr:pic>
      <xdr:nvPicPr>
        <xdr:cNvPr id="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109</xdr:row>
      <xdr:rowOff>231775</xdr:rowOff>
    </xdr:from>
    <xdr:to>
      <xdr:col>10</xdr:col>
      <xdr:colOff>539750</xdr:colOff>
      <xdr:row>109</xdr:row>
      <xdr:rowOff>450850</xdr:rowOff>
    </xdr:to>
    <xdr:pic>
      <xdr:nvPicPr>
        <xdr:cNvPr id="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112</xdr:row>
      <xdr:rowOff>228600</xdr:rowOff>
    </xdr:from>
    <xdr:to>
      <xdr:col>10</xdr:col>
      <xdr:colOff>260350</xdr:colOff>
      <xdr:row>112</xdr:row>
      <xdr:rowOff>447675</xdr:rowOff>
    </xdr:to>
    <xdr:pic>
      <xdr:nvPicPr>
        <xdr:cNvPr id="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112</xdr:row>
      <xdr:rowOff>231775</xdr:rowOff>
    </xdr:from>
    <xdr:to>
      <xdr:col>10</xdr:col>
      <xdr:colOff>539750</xdr:colOff>
      <xdr:row>112</xdr:row>
      <xdr:rowOff>450850</xdr:rowOff>
    </xdr:to>
    <xdr:pic>
      <xdr:nvPicPr>
        <xdr:cNvPr id="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115</xdr:row>
      <xdr:rowOff>228600</xdr:rowOff>
    </xdr:from>
    <xdr:to>
      <xdr:col>10</xdr:col>
      <xdr:colOff>260350</xdr:colOff>
      <xdr:row>115</xdr:row>
      <xdr:rowOff>447675</xdr:rowOff>
    </xdr:to>
    <xdr:pic>
      <xdr:nvPicPr>
        <xdr:cNvPr id="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115</xdr:row>
      <xdr:rowOff>231775</xdr:rowOff>
    </xdr:from>
    <xdr:to>
      <xdr:col>10</xdr:col>
      <xdr:colOff>539750</xdr:colOff>
      <xdr:row>115</xdr:row>
      <xdr:rowOff>450850</xdr:rowOff>
    </xdr:to>
    <xdr:pic>
      <xdr:nvPicPr>
        <xdr:cNvPr id="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119</xdr:row>
      <xdr:rowOff>228600</xdr:rowOff>
    </xdr:from>
    <xdr:to>
      <xdr:col>10</xdr:col>
      <xdr:colOff>260350</xdr:colOff>
      <xdr:row>119</xdr:row>
      <xdr:rowOff>447675</xdr:rowOff>
    </xdr:to>
    <xdr:pic>
      <xdr:nvPicPr>
        <xdr:cNvPr id="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119</xdr:row>
      <xdr:rowOff>231775</xdr:rowOff>
    </xdr:from>
    <xdr:to>
      <xdr:col>10</xdr:col>
      <xdr:colOff>539750</xdr:colOff>
      <xdr:row>119</xdr:row>
      <xdr:rowOff>450850</xdr:rowOff>
    </xdr:to>
    <xdr:pic>
      <xdr:nvPicPr>
        <xdr:cNvPr id="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123</xdr:row>
      <xdr:rowOff>228600</xdr:rowOff>
    </xdr:from>
    <xdr:to>
      <xdr:col>10</xdr:col>
      <xdr:colOff>260350</xdr:colOff>
      <xdr:row>123</xdr:row>
      <xdr:rowOff>447675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123</xdr:row>
      <xdr:rowOff>231775</xdr:rowOff>
    </xdr:from>
    <xdr:to>
      <xdr:col>10</xdr:col>
      <xdr:colOff>539750</xdr:colOff>
      <xdr:row>123</xdr:row>
      <xdr:rowOff>450850</xdr:rowOff>
    </xdr:to>
    <xdr:pic>
      <xdr:nvPicPr>
        <xdr:cNvPr id="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127</xdr:row>
      <xdr:rowOff>228600</xdr:rowOff>
    </xdr:from>
    <xdr:to>
      <xdr:col>10</xdr:col>
      <xdr:colOff>260350</xdr:colOff>
      <xdr:row>127</xdr:row>
      <xdr:rowOff>447675</xdr:rowOff>
    </xdr:to>
    <xdr:pic>
      <xdr:nvPicPr>
        <xdr:cNvPr id="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127</xdr:row>
      <xdr:rowOff>231775</xdr:rowOff>
    </xdr:from>
    <xdr:to>
      <xdr:col>10</xdr:col>
      <xdr:colOff>539750</xdr:colOff>
      <xdr:row>127</xdr:row>
      <xdr:rowOff>450850</xdr:rowOff>
    </xdr:to>
    <xdr:pic>
      <xdr:nvPicPr>
        <xdr:cNvPr id="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131</xdr:row>
      <xdr:rowOff>228600</xdr:rowOff>
    </xdr:from>
    <xdr:to>
      <xdr:col>10</xdr:col>
      <xdr:colOff>260350</xdr:colOff>
      <xdr:row>131</xdr:row>
      <xdr:rowOff>447675</xdr:rowOff>
    </xdr:to>
    <xdr:pic>
      <xdr:nvPicPr>
        <xdr:cNvPr id="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131</xdr:row>
      <xdr:rowOff>231775</xdr:rowOff>
    </xdr:from>
    <xdr:to>
      <xdr:col>10</xdr:col>
      <xdr:colOff>539750</xdr:colOff>
      <xdr:row>131</xdr:row>
      <xdr:rowOff>450850</xdr:rowOff>
    </xdr:to>
    <xdr:pic>
      <xdr:nvPicPr>
        <xdr:cNvPr id="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135</xdr:row>
      <xdr:rowOff>228600</xdr:rowOff>
    </xdr:from>
    <xdr:to>
      <xdr:col>10</xdr:col>
      <xdr:colOff>260350</xdr:colOff>
      <xdr:row>135</xdr:row>
      <xdr:rowOff>447675</xdr:rowOff>
    </xdr:to>
    <xdr:pic>
      <xdr:nvPicPr>
        <xdr:cNvPr id="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135</xdr:row>
      <xdr:rowOff>231775</xdr:rowOff>
    </xdr:from>
    <xdr:to>
      <xdr:col>10</xdr:col>
      <xdr:colOff>539750</xdr:colOff>
      <xdr:row>135</xdr:row>
      <xdr:rowOff>450850</xdr:rowOff>
    </xdr:to>
    <xdr:pic>
      <xdr:nvPicPr>
        <xdr:cNvPr id="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139</xdr:row>
      <xdr:rowOff>228600</xdr:rowOff>
    </xdr:from>
    <xdr:to>
      <xdr:col>10</xdr:col>
      <xdr:colOff>260350</xdr:colOff>
      <xdr:row>139</xdr:row>
      <xdr:rowOff>447675</xdr:rowOff>
    </xdr:to>
    <xdr:pic>
      <xdr:nvPicPr>
        <xdr:cNvPr id="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139</xdr:row>
      <xdr:rowOff>231775</xdr:rowOff>
    </xdr:from>
    <xdr:to>
      <xdr:col>10</xdr:col>
      <xdr:colOff>539750</xdr:colOff>
      <xdr:row>139</xdr:row>
      <xdr:rowOff>450850</xdr:rowOff>
    </xdr:to>
    <xdr:pic>
      <xdr:nvPicPr>
        <xdr:cNvPr id="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143</xdr:row>
      <xdr:rowOff>228600</xdr:rowOff>
    </xdr:from>
    <xdr:to>
      <xdr:col>10</xdr:col>
      <xdr:colOff>260350</xdr:colOff>
      <xdr:row>143</xdr:row>
      <xdr:rowOff>447675</xdr:rowOff>
    </xdr:to>
    <xdr:pic>
      <xdr:nvPicPr>
        <xdr:cNvPr id="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143</xdr:row>
      <xdr:rowOff>231775</xdr:rowOff>
    </xdr:from>
    <xdr:to>
      <xdr:col>10</xdr:col>
      <xdr:colOff>539750</xdr:colOff>
      <xdr:row>143</xdr:row>
      <xdr:rowOff>450850</xdr:rowOff>
    </xdr:to>
    <xdr:pic>
      <xdr:nvPicPr>
        <xdr:cNvPr id="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147</xdr:row>
      <xdr:rowOff>228600</xdr:rowOff>
    </xdr:from>
    <xdr:to>
      <xdr:col>10</xdr:col>
      <xdr:colOff>260350</xdr:colOff>
      <xdr:row>147</xdr:row>
      <xdr:rowOff>447675</xdr:rowOff>
    </xdr:to>
    <xdr:pic>
      <xdr:nvPicPr>
        <xdr:cNvPr id="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147</xdr:row>
      <xdr:rowOff>231775</xdr:rowOff>
    </xdr:from>
    <xdr:to>
      <xdr:col>10</xdr:col>
      <xdr:colOff>539750</xdr:colOff>
      <xdr:row>147</xdr:row>
      <xdr:rowOff>450850</xdr:rowOff>
    </xdr:to>
    <xdr:pic>
      <xdr:nvPicPr>
        <xdr:cNvPr id="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155</xdr:row>
      <xdr:rowOff>228600</xdr:rowOff>
    </xdr:from>
    <xdr:to>
      <xdr:col>10</xdr:col>
      <xdr:colOff>260350</xdr:colOff>
      <xdr:row>155</xdr:row>
      <xdr:rowOff>447675</xdr:rowOff>
    </xdr:to>
    <xdr:pic>
      <xdr:nvPicPr>
        <xdr:cNvPr id="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160</xdr:row>
      <xdr:rowOff>0</xdr:rowOff>
    </xdr:from>
    <xdr:to>
      <xdr:col>10</xdr:col>
      <xdr:colOff>539750</xdr:colOff>
      <xdr:row>160</xdr:row>
      <xdr:rowOff>0</xdr:rowOff>
    </xdr:to>
    <xdr:pic>
      <xdr:nvPicPr>
        <xdr:cNvPr id="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163</xdr:row>
      <xdr:rowOff>228600</xdr:rowOff>
    </xdr:from>
    <xdr:to>
      <xdr:col>10</xdr:col>
      <xdr:colOff>260350</xdr:colOff>
      <xdr:row>163</xdr:row>
      <xdr:rowOff>447675</xdr:rowOff>
    </xdr:to>
    <xdr:pic>
      <xdr:nvPicPr>
        <xdr:cNvPr id="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163</xdr:row>
      <xdr:rowOff>231775</xdr:rowOff>
    </xdr:from>
    <xdr:to>
      <xdr:col>10</xdr:col>
      <xdr:colOff>539750</xdr:colOff>
      <xdr:row>163</xdr:row>
      <xdr:rowOff>450850</xdr:rowOff>
    </xdr:to>
    <xdr:pic>
      <xdr:nvPicPr>
        <xdr:cNvPr id="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166</xdr:row>
      <xdr:rowOff>228600</xdr:rowOff>
    </xdr:from>
    <xdr:to>
      <xdr:col>10</xdr:col>
      <xdr:colOff>260350</xdr:colOff>
      <xdr:row>166</xdr:row>
      <xdr:rowOff>447675</xdr:rowOff>
    </xdr:to>
    <xdr:pic>
      <xdr:nvPicPr>
        <xdr:cNvPr id="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166</xdr:row>
      <xdr:rowOff>231775</xdr:rowOff>
    </xdr:from>
    <xdr:to>
      <xdr:col>10</xdr:col>
      <xdr:colOff>539750</xdr:colOff>
      <xdr:row>166</xdr:row>
      <xdr:rowOff>450850</xdr:rowOff>
    </xdr:to>
    <xdr:pic>
      <xdr:nvPicPr>
        <xdr:cNvPr id="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169</xdr:row>
      <xdr:rowOff>228600</xdr:rowOff>
    </xdr:from>
    <xdr:to>
      <xdr:col>10</xdr:col>
      <xdr:colOff>260350</xdr:colOff>
      <xdr:row>169</xdr:row>
      <xdr:rowOff>447675</xdr:rowOff>
    </xdr:to>
    <xdr:pic>
      <xdr:nvPicPr>
        <xdr:cNvPr id="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177</xdr:row>
      <xdr:rowOff>228600</xdr:rowOff>
    </xdr:from>
    <xdr:to>
      <xdr:col>10</xdr:col>
      <xdr:colOff>260350</xdr:colOff>
      <xdr:row>177</xdr:row>
      <xdr:rowOff>447675</xdr:rowOff>
    </xdr:to>
    <xdr:pic>
      <xdr:nvPicPr>
        <xdr:cNvPr id="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177</xdr:row>
      <xdr:rowOff>231775</xdr:rowOff>
    </xdr:from>
    <xdr:to>
      <xdr:col>10</xdr:col>
      <xdr:colOff>539750</xdr:colOff>
      <xdr:row>177</xdr:row>
      <xdr:rowOff>450850</xdr:rowOff>
    </xdr:to>
    <xdr:pic>
      <xdr:nvPicPr>
        <xdr:cNvPr id="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181</xdr:row>
      <xdr:rowOff>228600</xdr:rowOff>
    </xdr:from>
    <xdr:to>
      <xdr:col>10</xdr:col>
      <xdr:colOff>260350</xdr:colOff>
      <xdr:row>181</xdr:row>
      <xdr:rowOff>447675</xdr:rowOff>
    </xdr:to>
    <xdr:pic>
      <xdr:nvPicPr>
        <xdr:cNvPr id="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181</xdr:row>
      <xdr:rowOff>231775</xdr:rowOff>
    </xdr:from>
    <xdr:to>
      <xdr:col>10</xdr:col>
      <xdr:colOff>539750</xdr:colOff>
      <xdr:row>181</xdr:row>
      <xdr:rowOff>450850</xdr:rowOff>
    </xdr:to>
    <xdr:pic>
      <xdr:nvPicPr>
        <xdr:cNvPr id="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185</xdr:row>
      <xdr:rowOff>228600</xdr:rowOff>
    </xdr:from>
    <xdr:to>
      <xdr:col>10</xdr:col>
      <xdr:colOff>260350</xdr:colOff>
      <xdr:row>185</xdr:row>
      <xdr:rowOff>447675</xdr:rowOff>
    </xdr:to>
    <xdr:pic>
      <xdr:nvPicPr>
        <xdr:cNvPr id="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185</xdr:row>
      <xdr:rowOff>231775</xdr:rowOff>
    </xdr:from>
    <xdr:to>
      <xdr:col>10</xdr:col>
      <xdr:colOff>539750</xdr:colOff>
      <xdr:row>185</xdr:row>
      <xdr:rowOff>450850</xdr:rowOff>
    </xdr:to>
    <xdr:pic>
      <xdr:nvPicPr>
        <xdr:cNvPr id="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189</xdr:row>
      <xdr:rowOff>228600</xdr:rowOff>
    </xdr:from>
    <xdr:to>
      <xdr:col>10</xdr:col>
      <xdr:colOff>260350</xdr:colOff>
      <xdr:row>189</xdr:row>
      <xdr:rowOff>447675</xdr:rowOff>
    </xdr:to>
    <xdr:pic>
      <xdr:nvPicPr>
        <xdr:cNvPr id="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189</xdr:row>
      <xdr:rowOff>231775</xdr:rowOff>
    </xdr:from>
    <xdr:to>
      <xdr:col>10</xdr:col>
      <xdr:colOff>539750</xdr:colOff>
      <xdr:row>189</xdr:row>
      <xdr:rowOff>450850</xdr:rowOff>
    </xdr:to>
    <xdr:pic>
      <xdr:nvPicPr>
        <xdr:cNvPr id="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193</xdr:row>
      <xdr:rowOff>228600</xdr:rowOff>
    </xdr:from>
    <xdr:to>
      <xdr:col>10</xdr:col>
      <xdr:colOff>260350</xdr:colOff>
      <xdr:row>193</xdr:row>
      <xdr:rowOff>447675</xdr:rowOff>
    </xdr:to>
    <xdr:pic>
      <xdr:nvPicPr>
        <xdr:cNvPr id="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193</xdr:row>
      <xdr:rowOff>231775</xdr:rowOff>
    </xdr:from>
    <xdr:to>
      <xdr:col>10</xdr:col>
      <xdr:colOff>539750</xdr:colOff>
      <xdr:row>193</xdr:row>
      <xdr:rowOff>450850</xdr:rowOff>
    </xdr:to>
    <xdr:pic>
      <xdr:nvPicPr>
        <xdr:cNvPr id="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201</xdr:row>
      <xdr:rowOff>228600</xdr:rowOff>
    </xdr:from>
    <xdr:to>
      <xdr:col>10</xdr:col>
      <xdr:colOff>260350</xdr:colOff>
      <xdr:row>201</xdr:row>
      <xdr:rowOff>447675</xdr:rowOff>
    </xdr:to>
    <xdr:pic>
      <xdr:nvPicPr>
        <xdr:cNvPr id="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201</xdr:row>
      <xdr:rowOff>231775</xdr:rowOff>
    </xdr:from>
    <xdr:to>
      <xdr:col>10</xdr:col>
      <xdr:colOff>539750</xdr:colOff>
      <xdr:row>201</xdr:row>
      <xdr:rowOff>450850</xdr:rowOff>
    </xdr:to>
    <xdr:pic>
      <xdr:nvPicPr>
        <xdr:cNvPr id="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205</xdr:row>
      <xdr:rowOff>228600</xdr:rowOff>
    </xdr:from>
    <xdr:to>
      <xdr:col>10</xdr:col>
      <xdr:colOff>260350</xdr:colOff>
      <xdr:row>205</xdr:row>
      <xdr:rowOff>447675</xdr:rowOff>
    </xdr:to>
    <xdr:pic>
      <xdr:nvPicPr>
        <xdr:cNvPr id="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205</xdr:row>
      <xdr:rowOff>231775</xdr:rowOff>
    </xdr:from>
    <xdr:to>
      <xdr:col>10</xdr:col>
      <xdr:colOff>539750</xdr:colOff>
      <xdr:row>205</xdr:row>
      <xdr:rowOff>450850</xdr:rowOff>
    </xdr:to>
    <xdr:pic>
      <xdr:nvPicPr>
        <xdr:cNvPr id="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209</xdr:row>
      <xdr:rowOff>228600</xdr:rowOff>
    </xdr:from>
    <xdr:to>
      <xdr:col>10</xdr:col>
      <xdr:colOff>260350</xdr:colOff>
      <xdr:row>209</xdr:row>
      <xdr:rowOff>447675</xdr:rowOff>
    </xdr:to>
    <xdr:pic>
      <xdr:nvPicPr>
        <xdr:cNvPr id="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209</xdr:row>
      <xdr:rowOff>231775</xdr:rowOff>
    </xdr:from>
    <xdr:to>
      <xdr:col>10</xdr:col>
      <xdr:colOff>539750</xdr:colOff>
      <xdr:row>209</xdr:row>
      <xdr:rowOff>450850</xdr:rowOff>
    </xdr:to>
    <xdr:pic>
      <xdr:nvPicPr>
        <xdr:cNvPr id="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212</xdr:row>
      <xdr:rowOff>228600</xdr:rowOff>
    </xdr:from>
    <xdr:to>
      <xdr:col>10</xdr:col>
      <xdr:colOff>260350</xdr:colOff>
      <xdr:row>212</xdr:row>
      <xdr:rowOff>447675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212</xdr:row>
      <xdr:rowOff>231775</xdr:rowOff>
    </xdr:from>
    <xdr:to>
      <xdr:col>10</xdr:col>
      <xdr:colOff>539750</xdr:colOff>
      <xdr:row>212</xdr:row>
      <xdr:rowOff>450850</xdr:rowOff>
    </xdr:to>
    <xdr:pic>
      <xdr:nvPicPr>
        <xdr:cNvPr id="1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215</xdr:row>
      <xdr:rowOff>228600</xdr:rowOff>
    </xdr:from>
    <xdr:to>
      <xdr:col>10</xdr:col>
      <xdr:colOff>260350</xdr:colOff>
      <xdr:row>215</xdr:row>
      <xdr:rowOff>447675</xdr:rowOff>
    </xdr:to>
    <xdr:pic>
      <xdr:nvPicPr>
        <xdr:cNvPr id="1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215</xdr:row>
      <xdr:rowOff>231775</xdr:rowOff>
    </xdr:from>
    <xdr:to>
      <xdr:col>10</xdr:col>
      <xdr:colOff>539750</xdr:colOff>
      <xdr:row>215</xdr:row>
      <xdr:rowOff>450850</xdr:rowOff>
    </xdr:to>
    <xdr:pic>
      <xdr:nvPicPr>
        <xdr:cNvPr id="1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219</xdr:row>
      <xdr:rowOff>228600</xdr:rowOff>
    </xdr:from>
    <xdr:to>
      <xdr:col>10</xdr:col>
      <xdr:colOff>260350</xdr:colOff>
      <xdr:row>219</xdr:row>
      <xdr:rowOff>447675</xdr:rowOff>
    </xdr:to>
    <xdr:pic>
      <xdr:nvPicPr>
        <xdr:cNvPr id="1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219</xdr:row>
      <xdr:rowOff>231775</xdr:rowOff>
    </xdr:from>
    <xdr:to>
      <xdr:col>10</xdr:col>
      <xdr:colOff>539750</xdr:colOff>
      <xdr:row>219</xdr:row>
      <xdr:rowOff>450850</xdr:rowOff>
    </xdr:to>
    <xdr:pic>
      <xdr:nvPicPr>
        <xdr:cNvPr id="1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223</xdr:row>
      <xdr:rowOff>228600</xdr:rowOff>
    </xdr:from>
    <xdr:to>
      <xdr:col>10</xdr:col>
      <xdr:colOff>260350</xdr:colOff>
      <xdr:row>223</xdr:row>
      <xdr:rowOff>447675</xdr:rowOff>
    </xdr:to>
    <xdr:pic>
      <xdr:nvPicPr>
        <xdr:cNvPr id="1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223</xdr:row>
      <xdr:rowOff>231775</xdr:rowOff>
    </xdr:from>
    <xdr:to>
      <xdr:col>10</xdr:col>
      <xdr:colOff>539750</xdr:colOff>
      <xdr:row>223</xdr:row>
      <xdr:rowOff>450850</xdr:rowOff>
    </xdr:to>
    <xdr:pic>
      <xdr:nvPicPr>
        <xdr:cNvPr id="1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227</xdr:row>
      <xdr:rowOff>228600</xdr:rowOff>
    </xdr:from>
    <xdr:to>
      <xdr:col>10</xdr:col>
      <xdr:colOff>260350</xdr:colOff>
      <xdr:row>227</xdr:row>
      <xdr:rowOff>447675</xdr:rowOff>
    </xdr:to>
    <xdr:pic>
      <xdr:nvPicPr>
        <xdr:cNvPr id="1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227</xdr:row>
      <xdr:rowOff>231775</xdr:rowOff>
    </xdr:from>
    <xdr:to>
      <xdr:col>10</xdr:col>
      <xdr:colOff>539750</xdr:colOff>
      <xdr:row>227</xdr:row>
      <xdr:rowOff>450850</xdr:rowOff>
    </xdr:to>
    <xdr:pic>
      <xdr:nvPicPr>
        <xdr:cNvPr id="1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231</xdr:row>
      <xdr:rowOff>228600</xdr:rowOff>
    </xdr:from>
    <xdr:to>
      <xdr:col>10</xdr:col>
      <xdr:colOff>260350</xdr:colOff>
      <xdr:row>231</xdr:row>
      <xdr:rowOff>447675</xdr:rowOff>
    </xdr:to>
    <xdr:pic>
      <xdr:nvPicPr>
        <xdr:cNvPr id="1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231</xdr:row>
      <xdr:rowOff>231775</xdr:rowOff>
    </xdr:from>
    <xdr:to>
      <xdr:col>10</xdr:col>
      <xdr:colOff>539750</xdr:colOff>
      <xdr:row>231</xdr:row>
      <xdr:rowOff>450850</xdr:rowOff>
    </xdr:to>
    <xdr:pic>
      <xdr:nvPicPr>
        <xdr:cNvPr id="1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234</xdr:row>
      <xdr:rowOff>228600</xdr:rowOff>
    </xdr:from>
    <xdr:to>
      <xdr:col>10</xdr:col>
      <xdr:colOff>260350</xdr:colOff>
      <xdr:row>234</xdr:row>
      <xdr:rowOff>447675</xdr:rowOff>
    </xdr:to>
    <xdr:pic>
      <xdr:nvPicPr>
        <xdr:cNvPr id="1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234</xdr:row>
      <xdr:rowOff>231775</xdr:rowOff>
    </xdr:from>
    <xdr:to>
      <xdr:col>10</xdr:col>
      <xdr:colOff>539750</xdr:colOff>
      <xdr:row>234</xdr:row>
      <xdr:rowOff>450850</xdr:rowOff>
    </xdr:to>
    <xdr:pic>
      <xdr:nvPicPr>
        <xdr:cNvPr id="1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237</xdr:row>
      <xdr:rowOff>228600</xdr:rowOff>
    </xdr:from>
    <xdr:to>
      <xdr:col>10</xdr:col>
      <xdr:colOff>260350</xdr:colOff>
      <xdr:row>237</xdr:row>
      <xdr:rowOff>447675</xdr:rowOff>
    </xdr:to>
    <xdr:pic>
      <xdr:nvPicPr>
        <xdr:cNvPr id="1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237</xdr:row>
      <xdr:rowOff>231775</xdr:rowOff>
    </xdr:from>
    <xdr:to>
      <xdr:col>10</xdr:col>
      <xdr:colOff>539750</xdr:colOff>
      <xdr:row>237</xdr:row>
      <xdr:rowOff>450850</xdr:rowOff>
    </xdr:to>
    <xdr:pic>
      <xdr:nvPicPr>
        <xdr:cNvPr id="1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241</xdr:row>
      <xdr:rowOff>228600</xdr:rowOff>
    </xdr:from>
    <xdr:to>
      <xdr:col>10</xdr:col>
      <xdr:colOff>260350</xdr:colOff>
      <xdr:row>241</xdr:row>
      <xdr:rowOff>447675</xdr:rowOff>
    </xdr:to>
    <xdr:pic>
      <xdr:nvPicPr>
        <xdr:cNvPr id="1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241</xdr:row>
      <xdr:rowOff>231775</xdr:rowOff>
    </xdr:from>
    <xdr:to>
      <xdr:col>10</xdr:col>
      <xdr:colOff>539750</xdr:colOff>
      <xdr:row>241</xdr:row>
      <xdr:rowOff>450850</xdr:rowOff>
    </xdr:to>
    <xdr:pic>
      <xdr:nvPicPr>
        <xdr:cNvPr id="1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245</xdr:row>
      <xdr:rowOff>228600</xdr:rowOff>
    </xdr:from>
    <xdr:to>
      <xdr:col>10</xdr:col>
      <xdr:colOff>260350</xdr:colOff>
      <xdr:row>245</xdr:row>
      <xdr:rowOff>447675</xdr:rowOff>
    </xdr:to>
    <xdr:pic>
      <xdr:nvPicPr>
        <xdr:cNvPr id="1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245</xdr:row>
      <xdr:rowOff>231775</xdr:rowOff>
    </xdr:from>
    <xdr:to>
      <xdr:col>10</xdr:col>
      <xdr:colOff>539750</xdr:colOff>
      <xdr:row>245</xdr:row>
      <xdr:rowOff>450850</xdr:rowOff>
    </xdr:to>
    <xdr:pic>
      <xdr:nvPicPr>
        <xdr:cNvPr id="1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249</xdr:row>
      <xdr:rowOff>228600</xdr:rowOff>
    </xdr:from>
    <xdr:to>
      <xdr:col>10</xdr:col>
      <xdr:colOff>260350</xdr:colOff>
      <xdr:row>249</xdr:row>
      <xdr:rowOff>447675</xdr:rowOff>
    </xdr:to>
    <xdr:pic>
      <xdr:nvPicPr>
        <xdr:cNvPr id="1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249</xdr:row>
      <xdr:rowOff>231775</xdr:rowOff>
    </xdr:from>
    <xdr:to>
      <xdr:col>10</xdr:col>
      <xdr:colOff>539750</xdr:colOff>
      <xdr:row>249</xdr:row>
      <xdr:rowOff>450850</xdr:rowOff>
    </xdr:to>
    <xdr:pic>
      <xdr:nvPicPr>
        <xdr:cNvPr id="1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253</xdr:row>
      <xdr:rowOff>228600</xdr:rowOff>
    </xdr:from>
    <xdr:to>
      <xdr:col>10</xdr:col>
      <xdr:colOff>260350</xdr:colOff>
      <xdr:row>253</xdr:row>
      <xdr:rowOff>447675</xdr:rowOff>
    </xdr:to>
    <xdr:pic>
      <xdr:nvPicPr>
        <xdr:cNvPr id="1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253</xdr:row>
      <xdr:rowOff>231775</xdr:rowOff>
    </xdr:from>
    <xdr:to>
      <xdr:col>10</xdr:col>
      <xdr:colOff>539750</xdr:colOff>
      <xdr:row>253</xdr:row>
      <xdr:rowOff>450850</xdr:rowOff>
    </xdr:to>
    <xdr:pic>
      <xdr:nvPicPr>
        <xdr:cNvPr id="1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254</xdr:row>
      <xdr:rowOff>0</xdr:rowOff>
    </xdr:from>
    <xdr:to>
      <xdr:col>10</xdr:col>
      <xdr:colOff>539750</xdr:colOff>
      <xdr:row>254</xdr:row>
      <xdr:rowOff>0</xdr:rowOff>
    </xdr:to>
    <xdr:pic>
      <xdr:nvPicPr>
        <xdr:cNvPr id="1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256</xdr:row>
      <xdr:rowOff>228600</xdr:rowOff>
    </xdr:from>
    <xdr:to>
      <xdr:col>10</xdr:col>
      <xdr:colOff>260350</xdr:colOff>
      <xdr:row>256</xdr:row>
      <xdr:rowOff>447675</xdr:rowOff>
    </xdr:to>
    <xdr:pic>
      <xdr:nvPicPr>
        <xdr:cNvPr id="1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256</xdr:row>
      <xdr:rowOff>231775</xdr:rowOff>
    </xdr:from>
    <xdr:to>
      <xdr:col>10</xdr:col>
      <xdr:colOff>539750</xdr:colOff>
      <xdr:row>256</xdr:row>
      <xdr:rowOff>450850</xdr:rowOff>
    </xdr:to>
    <xdr:pic>
      <xdr:nvPicPr>
        <xdr:cNvPr id="1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259</xdr:row>
      <xdr:rowOff>228600</xdr:rowOff>
    </xdr:from>
    <xdr:to>
      <xdr:col>10</xdr:col>
      <xdr:colOff>260350</xdr:colOff>
      <xdr:row>259</xdr:row>
      <xdr:rowOff>447675</xdr:rowOff>
    </xdr:to>
    <xdr:pic>
      <xdr:nvPicPr>
        <xdr:cNvPr id="1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259</xdr:row>
      <xdr:rowOff>231775</xdr:rowOff>
    </xdr:from>
    <xdr:to>
      <xdr:col>10</xdr:col>
      <xdr:colOff>539750</xdr:colOff>
      <xdr:row>259</xdr:row>
      <xdr:rowOff>450850</xdr:rowOff>
    </xdr:to>
    <xdr:pic>
      <xdr:nvPicPr>
        <xdr:cNvPr id="1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263</xdr:row>
      <xdr:rowOff>228600</xdr:rowOff>
    </xdr:from>
    <xdr:to>
      <xdr:col>10</xdr:col>
      <xdr:colOff>260350</xdr:colOff>
      <xdr:row>263</xdr:row>
      <xdr:rowOff>447675</xdr:rowOff>
    </xdr:to>
    <xdr:pic>
      <xdr:nvPicPr>
        <xdr:cNvPr id="1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263</xdr:row>
      <xdr:rowOff>231775</xdr:rowOff>
    </xdr:from>
    <xdr:to>
      <xdr:col>10</xdr:col>
      <xdr:colOff>539750</xdr:colOff>
      <xdr:row>263</xdr:row>
      <xdr:rowOff>450850</xdr:rowOff>
    </xdr:to>
    <xdr:pic>
      <xdr:nvPicPr>
        <xdr:cNvPr id="1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267</xdr:row>
      <xdr:rowOff>228600</xdr:rowOff>
    </xdr:from>
    <xdr:to>
      <xdr:col>10</xdr:col>
      <xdr:colOff>260350</xdr:colOff>
      <xdr:row>267</xdr:row>
      <xdr:rowOff>447675</xdr:rowOff>
    </xdr:to>
    <xdr:pic>
      <xdr:nvPicPr>
        <xdr:cNvPr id="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267</xdr:row>
      <xdr:rowOff>231775</xdr:rowOff>
    </xdr:from>
    <xdr:to>
      <xdr:col>10</xdr:col>
      <xdr:colOff>539750</xdr:colOff>
      <xdr:row>267</xdr:row>
      <xdr:rowOff>450850</xdr:rowOff>
    </xdr:to>
    <xdr:pic>
      <xdr:nvPicPr>
        <xdr:cNvPr id="1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271</xdr:row>
      <xdr:rowOff>228600</xdr:rowOff>
    </xdr:from>
    <xdr:to>
      <xdr:col>10</xdr:col>
      <xdr:colOff>260350</xdr:colOff>
      <xdr:row>271</xdr:row>
      <xdr:rowOff>447675</xdr:rowOff>
    </xdr:to>
    <xdr:pic>
      <xdr:nvPicPr>
        <xdr:cNvPr id="1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271</xdr:row>
      <xdr:rowOff>231775</xdr:rowOff>
    </xdr:from>
    <xdr:to>
      <xdr:col>10</xdr:col>
      <xdr:colOff>539750</xdr:colOff>
      <xdr:row>271</xdr:row>
      <xdr:rowOff>450850</xdr:rowOff>
    </xdr:to>
    <xdr:pic>
      <xdr:nvPicPr>
        <xdr:cNvPr id="1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275</xdr:row>
      <xdr:rowOff>228600</xdr:rowOff>
    </xdr:from>
    <xdr:to>
      <xdr:col>10</xdr:col>
      <xdr:colOff>260350</xdr:colOff>
      <xdr:row>275</xdr:row>
      <xdr:rowOff>447675</xdr:rowOff>
    </xdr:to>
    <xdr:pic>
      <xdr:nvPicPr>
        <xdr:cNvPr id="1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275</xdr:row>
      <xdr:rowOff>231775</xdr:rowOff>
    </xdr:from>
    <xdr:to>
      <xdr:col>10</xdr:col>
      <xdr:colOff>539750</xdr:colOff>
      <xdr:row>275</xdr:row>
      <xdr:rowOff>450850</xdr:rowOff>
    </xdr:to>
    <xdr:pic>
      <xdr:nvPicPr>
        <xdr:cNvPr id="1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278</xdr:row>
      <xdr:rowOff>228600</xdr:rowOff>
    </xdr:from>
    <xdr:to>
      <xdr:col>10</xdr:col>
      <xdr:colOff>260350</xdr:colOff>
      <xdr:row>278</xdr:row>
      <xdr:rowOff>447675</xdr:rowOff>
    </xdr:to>
    <xdr:pic>
      <xdr:nvPicPr>
        <xdr:cNvPr id="1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278</xdr:row>
      <xdr:rowOff>231775</xdr:rowOff>
    </xdr:from>
    <xdr:to>
      <xdr:col>10</xdr:col>
      <xdr:colOff>539750</xdr:colOff>
      <xdr:row>278</xdr:row>
      <xdr:rowOff>450850</xdr:rowOff>
    </xdr:to>
    <xdr:pic>
      <xdr:nvPicPr>
        <xdr:cNvPr id="1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282</xdr:row>
      <xdr:rowOff>228600</xdr:rowOff>
    </xdr:from>
    <xdr:to>
      <xdr:col>10</xdr:col>
      <xdr:colOff>260350</xdr:colOff>
      <xdr:row>282</xdr:row>
      <xdr:rowOff>447675</xdr:rowOff>
    </xdr:to>
    <xdr:pic>
      <xdr:nvPicPr>
        <xdr:cNvPr id="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282</xdr:row>
      <xdr:rowOff>231775</xdr:rowOff>
    </xdr:from>
    <xdr:to>
      <xdr:col>10</xdr:col>
      <xdr:colOff>539750</xdr:colOff>
      <xdr:row>282</xdr:row>
      <xdr:rowOff>450850</xdr:rowOff>
    </xdr:to>
    <xdr:pic>
      <xdr:nvPicPr>
        <xdr:cNvPr id="1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286</xdr:row>
      <xdr:rowOff>228600</xdr:rowOff>
    </xdr:from>
    <xdr:to>
      <xdr:col>10</xdr:col>
      <xdr:colOff>260350</xdr:colOff>
      <xdr:row>286</xdr:row>
      <xdr:rowOff>447675</xdr:rowOff>
    </xdr:to>
    <xdr:pic>
      <xdr:nvPicPr>
        <xdr:cNvPr id="1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286</xdr:row>
      <xdr:rowOff>231775</xdr:rowOff>
    </xdr:from>
    <xdr:to>
      <xdr:col>10</xdr:col>
      <xdr:colOff>539750</xdr:colOff>
      <xdr:row>286</xdr:row>
      <xdr:rowOff>450850</xdr:rowOff>
    </xdr:to>
    <xdr:pic>
      <xdr:nvPicPr>
        <xdr:cNvPr id="1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290</xdr:row>
      <xdr:rowOff>228600</xdr:rowOff>
    </xdr:from>
    <xdr:to>
      <xdr:col>10</xdr:col>
      <xdr:colOff>260350</xdr:colOff>
      <xdr:row>290</xdr:row>
      <xdr:rowOff>447675</xdr:rowOff>
    </xdr:to>
    <xdr:pic>
      <xdr:nvPicPr>
        <xdr:cNvPr id="1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290</xdr:row>
      <xdr:rowOff>231775</xdr:rowOff>
    </xdr:from>
    <xdr:to>
      <xdr:col>10</xdr:col>
      <xdr:colOff>539750</xdr:colOff>
      <xdr:row>290</xdr:row>
      <xdr:rowOff>450850</xdr:rowOff>
    </xdr:to>
    <xdr:pic>
      <xdr:nvPicPr>
        <xdr:cNvPr id="1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294</xdr:row>
      <xdr:rowOff>228600</xdr:rowOff>
    </xdr:from>
    <xdr:to>
      <xdr:col>10</xdr:col>
      <xdr:colOff>260350</xdr:colOff>
      <xdr:row>294</xdr:row>
      <xdr:rowOff>447675</xdr:rowOff>
    </xdr:to>
    <xdr:pic>
      <xdr:nvPicPr>
        <xdr:cNvPr id="1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294</xdr:row>
      <xdr:rowOff>231775</xdr:rowOff>
    </xdr:from>
    <xdr:to>
      <xdr:col>10</xdr:col>
      <xdr:colOff>539750</xdr:colOff>
      <xdr:row>294</xdr:row>
      <xdr:rowOff>450850</xdr:rowOff>
    </xdr:to>
    <xdr:pic>
      <xdr:nvPicPr>
        <xdr:cNvPr id="1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298</xdr:row>
      <xdr:rowOff>228600</xdr:rowOff>
    </xdr:from>
    <xdr:to>
      <xdr:col>10</xdr:col>
      <xdr:colOff>260350</xdr:colOff>
      <xdr:row>298</xdr:row>
      <xdr:rowOff>447675</xdr:rowOff>
    </xdr:to>
    <xdr:pic>
      <xdr:nvPicPr>
        <xdr:cNvPr id="1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298</xdr:row>
      <xdr:rowOff>231775</xdr:rowOff>
    </xdr:from>
    <xdr:to>
      <xdr:col>10</xdr:col>
      <xdr:colOff>539750</xdr:colOff>
      <xdr:row>298</xdr:row>
      <xdr:rowOff>450850</xdr:rowOff>
    </xdr:to>
    <xdr:pic>
      <xdr:nvPicPr>
        <xdr:cNvPr id="1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302</xdr:row>
      <xdr:rowOff>228600</xdr:rowOff>
    </xdr:from>
    <xdr:to>
      <xdr:col>10</xdr:col>
      <xdr:colOff>260350</xdr:colOff>
      <xdr:row>302</xdr:row>
      <xdr:rowOff>447675</xdr:rowOff>
    </xdr:to>
    <xdr:pic>
      <xdr:nvPicPr>
        <xdr:cNvPr id="1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302</xdr:row>
      <xdr:rowOff>231775</xdr:rowOff>
    </xdr:from>
    <xdr:to>
      <xdr:col>10</xdr:col>
      <xdr:colOff>539750</xdr:colOff>
      <xdr:row>302</xdr:row>
      <xdr:rowOff>450850</xdr:rowOff>
    </xdr:to>
    <xdr:pic>
      <xdr:nvPicPr>
        <xdr:cNvPr id="1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306</xdr:row>
      <xdr:rowOff>228600</xdr:rowOff>
    </xdr:from>
    <xdr:to>
      <xdr:col>10</xdr:col>
      <xdr:colOff>260350</xdr:colOff>
      <xdr:row>306</xdr:row>
      <xdr:rowOff>447675</xdr:rowOff>
    </xdr:to>
    <xdr:pic>
      <xdr:nvPicPr>
        <xdr:cNvPr id="1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306</xdr:row>
      <xdr:rowOff>231775</xdr:rowOff>
    </xdr:from>
    <xdr:to>
      <xdr:col>10</xdr:col>
      <xdr:colOff>539750</xdr:colOff>
      <xdr:row>306</xdr:row>
      <xdr:rowOff>450850</xdr:rowOff>
    </xdr:to>
    <xdr:pic>
      <xdr:nvPicPr>
        <xdr:cNvPr id="1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310</xdr:row>
      <xdr:rowOff>228600</xdr:rowOff>
    </xdr:from>
    <xdr:to>
      <xdr:col>10</xdr:col>
      <xdr:colOff>260350</xdr:colOff>
      <xdr:row>310</xdr:row>
      <xdr:rowOff>447675</xdr:rowOff>
    </xdr:to>
    <xdr:pic>
      <xdr:nvPicPr>
        <xdr:cNvPr id="1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310</xdr:row>
      <xdr:rowOff>231775</xdr:rowOff>
    </xdr:from>
    <xdr:to>
      <xdr:col>10</xdr:col>
      <xdr:colOff>539750</xdr:colOff>
      <xdr:row>310</xdr:row>
      <xdr:rowOff>450850</xdr:rowOff>
    </xdr:to>
    <xdr:pic>
      <xdr:nvPicPr>
        <xdr:cNvPr id="1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314</xdr:row>
      <xdr:rowOff>228600</xdr:rowOff>
    </xdr:from>
    <xdr:to>
      <xdr:col>10</xdr:col>
      <xdr:colOff>260350</xdr:colOff>
      <xdr:row>314</xdr:row>
      <xdr:rowOff>447675</xdr:rowOff>
    </xdr:to>
    <xdr:pic>
      <xdr:nvPicPr>
        <xdr:cNvPr id="1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314</xdr:row>
      <xdr:rowOff>231775</xdr:rowOff>
    </xdr:from>
    <xdr:to>
      <xdr:col>10</xdr:col>
      <xdr:colOff>539750</xdr:colOff>
      <xdr:row>314</xdr:row>
      <xdr:rowOff>450850</xdr:rowOff>
    </xdr:to>
    <xdr:pic>
      <xdr:nvPicPr>
        <xdr:cNvPr id="1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318</xdr:row>
      <xdr:rowOff>228600</xdr:rowOff>
    </xdr:from>
    <xdr:to>
      <xdr:col>10</xdr:col>
      <xdr:colOff>260350</xdr:colOff>
      <xdr:row>318</xdr:row>
      <xdr:rowOff>447675</xdr:rowOff>
    </xdr:to>
    <xdr:pic>
      <xdr:nvPicPr>
        <xdr:cNvPr id="1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318</xdr:row>
      <xdr:rowOff>231775</xdr:rowOff>
    </xdr:from>
    <xdr:to>
      <xdr:col>10</xdr:col>
      <xdr:colOff>539750</xdr:colOff>
      <xdr:row>318</xdr:row>
      <xdr:rowOff>450850</xdr:rowOff>
    </xdr:to>
    <xdr:pic>
      <xdr:nvPicPr>
        <xdr:cNvPr id="1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321</xdr:row>
      <xdr:rowOff>228600</xdr:rowOff>
    </xdr:from>
    <xdr:to>
      <xdr:col>10</xdr:col>
      <xdr:colOff>260350</xdr:colOff>
      <xdr:row>321</xdr:row>
      <xdr:rowOff>447675</xdr:rowOff>
    </xdr:to>
    <xdr:pic>
      <xdr:nvPicPr>
        <xdr:cNvPr id="1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321</xdr:row>
      <xdr:rowOff>231775</xdr:rowOff>
    </xdr:from>
    <xdr:to>
      <xdr:col>10</xdr:col>
      <xdr:colOff>539750</xdr:colOff>
      <xdr:row>321</xdr:row>
      <xdr:rowOff>450850</xdr:rowOff>
    </xdr:to>
    <xdr:pic>
      <xdr:nvPicPr>
        <xdr:cNvPr id="1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324</xdr:row>
      <xdr:rowOff>228600</xdr:rowOff>
    </xdr:from>
    <xdr:to>
      <xdr:col>10</xdr:col>
      <xdr:colOff>260350</xdr:colOff>
      <xdr:row>324</xdr:row>
      <xdr:rowOff>447675</xdr:rowOff>
    </xdr:to>
    <xdr:pic>
      <xdr:nvPicPr>
        <xdr:cNvPr id="1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324</xdr:row>
      <xdr:rowOff>231775</xdr:rowOff>
    </xdr:from>
    <xdr:to>
      <xdr:col>10</xdr:col>
      <xdr:colOff>539750</xdr:colOff>
      <xdr:row>324</xdr:row>
      <xdr:rowOff>450850</xdr:rowOff>
    </xdr:to>
    <xdr:pic>
      <xdr:nvPicPr>
        <xdr:cNvPr id="1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327</xdr:row>
      <xdr:rowOff>228600</xdr:rowOff>
    </xdr:from>
    <xdr:to>
      <xdr:col>10</xdr:col>
      <xdr:colOff>260350</xdr:colOff>
      <xdr:row>327</xdr:row>
      <xdr:rowOff>447675</xdr:rowOff>
    </xdr:to>
    <xdr:pic>
      <xdr:nvPicPr>
        <xdr:cNvPr id="1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327</xdr:row>
      <xdr:rowOff>231775</xdr:rowOff>
    </xdr:from>
    <xdr:to>
      <xdr:col>10</xdr:col>
      <xdr:colOff>539750</xdr:colOff>
      <xdr:row>327</xdr:row>
      <xdr:rowOff>450850</xdr:rowOff>
    </xdr:to>
    <xdr:pic>
      <xdr:nvPicPr>
        <xdr:cNvPr id="1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332</xdr:row>
      <xdr:rowOff>228600</xdr:rowOff>
    </xdr:from>
    <xdr:to>
      <xdr:col>10</xdr:col>
      <xdr:colOff>260350</xdr:colOff>
      <xdr:row>332</xdr:row>
      <xdr:rowOff>447675</xdr:rowOff>
    </xdr:to>
    <xdr:pic>
      <xdr:nvPicPr>
        <xdr:cNvPr id="1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332</xdr:row>
      <xdr:rowOff>231775</xdr:rowOff>
    </xdr:from>
    <xdr:to>
      <xdr:col>10</xdr:col>
      <xdr:colOff>539750</xdr:colOff>
      <xdr:row>332</xdr:row>
      <xdr:rowOff>450850</xdr:rowOff>
    </xdr:to>
    <xdr:pic>
      <xdr:nvPicPr>
        <xdr:cNvPr id="1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336</xdr:row>
      <xdr:rowOff>228600</xdr:rowOff>
    </xdr:from>
    <xdr:to>
      <xdr:col>10</xdr:col>
      <xdr:colOff>260350</xdr:colOff>
      <xdr:row>336</xdr:row>
      <xdr:rowOff>447675</xdr:rowOff>
    </xdr:to>
    <xdr:pic>
      <xdr:nvPicPr>
        <xdr:cNvPr id="1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336</xdr:row>
      <xdr:rowOff>231775</xdr:rowOff>
    </xdr:from>
    <xdr:to>
      <xdr:col>10</xdr:col>
      <xdr:colOff>539750</xdr:colOff>
      <xdr:row>336</xdr:row>
      <xdr:rowOff>450850</xdr:rowOff>
    </xdr:to>
    <xdr:pic>
      <xdr:nvPicPr>
        <xdr:cNvPr id="1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339</xdr:row>
      <xdr:rowOff>228600</xdr:rowOff>
    </xdr:from>
    <xdr:to>
      <xdr:col>10</xdr:col>
      <xdr:colOff>260350</xdr:colOff>
      <xdr:row>339</xdr:row>
      <xdr:rowOff>447675</xdr:rowOff>
    </xdr:to>
    <xdr:pic>
      <xdr:nvPicPr>
        <xdr:cNvPr id="1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339</xdr:row>
      <xdr:rowOff>231775</xdr:rowOff>
    </xdr:from>
    <xdr:to>
      <xdr:col>10</xdr:col>
      <xdr:colOff>539750</xdr:colOff>
      <xdr:row>339</xdr:row>
      <xdr:rowOff>450850</xdr:rowOff>
    </xdr:to>
    <xdr:pic>
      <xdr:nvPicPr>
        <xdr:cNvPr id="1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343</xdr:row>
      <xdr:rowOff>228600</xdr:rowOff>
    </xdr:from>
    <xdr:to>
      <xdr:col>10</xdr:col>
      <xdr:colOff>260350</xdr:colOff>
      <xdr:row>343</xdr:row>
      <xdr:rowOff>447675</xdr:rowOff>
    </xdr:to>
    <xdr:pic>
      <xdr:nvPicPr>
        <xdr:cNvPr id="1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343</xdr:row>
      <xdr:rowOff>231775</xdr:rowOff>
    </xdr:from>
    <xdr:to>
      <xdr:col>10</xdr:col>
      <xdr:colOff>539750</xdr:colOff>
      <xdr:row>343</xdr:row>
      <xdr:rowOff>450850</xdr:rowOff>
    </xdr:to>
    <xdr:pic>
      <xdr:nvPicPr>
        <xdr:cNvPr id="1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346</xdr:row>
      <xdr:rowOff>228600</xdr:rowOff>
    </xdr:from>
    <xdr:to>
      <xdr:col>10</xdr:col>
      <xdr:colOff>260350</xdr:colOff>
      <xdr:row>346</xdr:row>
      <xdr:rowOff>447675</xdr:rowOff>
    </xdr:to>
    <xdr:pic>
      <xdr:nvPicPr>
        <xdr:cNvPr id="1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346</xdr:row>
      <xdr:rowOff>231775</xdr:rowOff>
    </xdr:from>
    <xdr:to>
      <xdr:col>10</xdr:col>
      <xdr:colOff>539750</xdr:colOff>
      <xdr:row>346</xdr:row>
      <xdr:rowOff>450850</xdr:rowOff>
    </xdr:to>
    <xdr:pic>
      <xdr:nvPicPr>
        <xdr:cNvPr id="1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351</xdr:row>
      <xdr:rowOff>228600</xdr:rowOff>
    </xdr:from>
    <xdr:to>
      <xdr:col>10</xdr:col>
      <xdr:colOff>260350</xdr:colOff>
      <xdr:row>351</xdr:row>
      <xdr:rowOff>447675</xdr:rowOff>
    </xdr:to>
    <xdr:pic>
      <xdr:nvPicPr>
        <xdr:cNvPr id="1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351</xdr:row>
      <xdr:rowOff>231775</xdr:rowOff>
    </xdr:from>
    <xdr:to>
      <xdr:col>10</xdr:col>
      <xdr:colOff>539750</xdr:colOff>
      <xdr:row>351</xdr:row>
      <xdr:rowOff>450850</xdr:rowOff>
    </xdr:to>
    <xdr:pic>
      <xdr:nvPicPr>
        <xdr:cNvPr id="1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355</xdr:row>
      <xdr:rowOff>228600</xdr:rowOff>
    </xdr:from>
    <xdr:to>
      <xdr:col>10</xdr:col>
      <xdr:colOff>260350</xdr:colOff>
      <xdr:row>355</xdr:row>
      <xdr:rowOff>447675</xdr:rowOff>
    </xdr:to>
    <xdr:pic>
      <xdr:nvPicPr>
        <xdr:cNvPr id="1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355</xdr:row>
      <xdr:rowOff>231775</xdr:rowOff>
    </xdr:from>
    <xdr:to>
      <xdr:col>10</xdr:col>
      <xdr:colOff>539750</xdr:colOff>
      <xdr:row>355</xdr:row>
      <xdr:rowOff>450850</xdr:rowOff>
    </xdr:to>
    <xdr:pic>
      <xdr:nvPicPr>
        <xdr:cNvPr id="1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360</xdr:row>
      <xdr:rowOff>228600</xdr:rowOff>
    </xdr:from>
    <xdr:to>
      <xdr:col>10</xdr:col>
      <xdr:colOff>260350</xdr:colOff>
      <xdr:row>360</xdr:row>
      <xdr:rowOff>447675</xdr:rowOff>
    </xdr:to>
    <xdr:pic>
      <xdr:nvPicPr>
        <xdr:cNvPr id="1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360</xdr:row>
      <xdr:rowOff>231775</xdr:rowOff>
    </xdr:from>
    <xdr:to>
      <xdr:col>10</xdr:col>
      <xdr:colOff>539750</xdr:colOff>
      <xdr:row>360</xdr:row>
      <xdr:rowOff>450850</xdr:rowOff>
    </xdr:to>
    <xdr:pic>
      <xdr:nvPicPr>
        <xdr:cNvPr id="1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364</xdr:row>
      <xdr:rowOff>228600</xdr:rowOff>
    </xdr:from>
    <xdr:to>
      <xdr:col>10</xdr:col>
      <xdr:colOff>260350</xdr:colOff>
      <xdr:row>364</xdr:row>
      <xdr:rowOff>447675</xdr:rowOff>
    </xdr:to>
    <xdr:pic>
      <xdr:nvPicPr>
        <xdr:cNvPr id="1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364</xdr:row>
      <xdr:rowOff>231775</xdr:rowOff>
    </xdr:from>
    <xdr:to>
      <xdr:col>10</xdr:col>
      <xdr:colOff>539750</xdr:colOff>
      <xdr:row>364</xdr:row>
      <xdr:rowOff>450850</xdr:rowOff>
    </xdr:to>
    <xdr:pic>
      <xdr:nvPicPr>
        <xdr:cNvPr id="1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368</xdr:row>
      <xdr:rowOff>228600</xdr:rowOff>
    </xdr:from>
    <xdr:to>
      <xdr:col>10</xdr:col>
      <xdr:colOff>260350</xdr:colOff>
      <xdr:row>368</xdr:row>
      <xdr:rowOff>447675</xdr:rowOff>
    </xdr:to>
    <xdr:pic>
      <xdr:nvPicPr>
        <xdr:cNvPr id="1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368</xdr:row>
      <xdr:rowOff>231775</xdr:rowOff>
    </xdr:from>
    <xdr:to>
      <xdr:col>10</xdr:col>
      <xdr:colOff>539750</xdr:colOff>
      <xdr:row>368</xdr:row>
      <xdr:rowOff>450850</xdr:rowOff>
    </xdr:to>
    <xdr:pic>
      <xdr:nvPicPr>
        <xdr:cNvPr id="1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371</xdr:row>
      <xdr:rowOff>228600</xdr:rowOff>
    </xdr:from>
    <xdr:to>
      <xdr:col>10</xdr:col>
      <xdr:colOff>260350</xdr:colOff>
      <xdr:row>371</xdr:row>
      <xdr:rowOff>447675</xdr:rowOff>
    </xdr:to>
    <xdr:pic>
      <xdr:nvPicPr>
        <xdr:cNvPr id="1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371</xdr:row>
      <xdr:rowOff>231775</xdr:rowOff>
    </xdr:from>
    <xdr:to>
      <xdr:col>10</xdr:col>
      <xdr:colOff>539750</xdr:colOff>
      <xdr:row>371</xdr:row>
      <xdr:rowOff>450850</xdr:rowOff>
    </xdr:to>
    <xdr:pic>
      <xdr:nvPicPr>
        <xdr:cNvPr id="1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376</xdr:row>
      <xdr:rowOff>228600</xdr:rowOff>
    </xdr:from>
    <xdr:to>
      <xdr:col>10</xdr:col>
      <xdr:colOff>260350</xdr:colOff>
      <xdr:row>376</xdr:row>
      <xdr:rowOff>447675</xdr:rowOff>
    </xdr:to>
    <xdr:pic>
      <xdr:nvPicPr>
        <xdr:cNvPr id="1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376</xdr:row>
      <xdr:rowOff>231775</xdr:rowOff>
    </xdr:from>
    <xdr:to>
      <xdr:col>10</xdr:col>
      <xdr:colOff>539750</xdr:colOff>
      <xdr:row>376</xdr:row>
      <xdr:rowOff>450850</xdr:rowOff>
    </xdr:to>
    <xdr:pic>
      <xdr:nvPicPr>
        <xdr:cNvPr id="1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379</xdr:row>
      <xdr:rowOff>228600</xdr:rowOff>
    </xdr:from>
    <xdr:to>
      <xdr:col>10</xdr:col>
      <xdr:colOff>260350</xdr:colOff>
      <xdr:row>379</xdr:row>
      <xdr:rowOff>447675</xdr:rowOff>
    </xdr:to>
    <xdr:pic>
      <xdr:nvPicPr>
        <xdr:cNvPr id="1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379</xdr:row>
      <xdr:rowOff>231775</xdr:rowOff>
    </xdr:from>
    <xdr:to>
      <xdr:col>10</xdr:col>
      <xdr:colOff>539750</xdr:colOff>
      <xdr:row>379</xdr:row>
      <xdr:rowOff>450850</xdr:rowOff>
    </xdr:to>
    <xdr:pic>
      <xdr:nvPicPr>
        <xdr:cNvPr id="1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384</xdr:row>
      <xdr:rowOff>228600</xdr:rowOff>
    </xdr:from>
    <xdr:to>
      <xdr:col>10</xdr:col>
      <xdr:colOff>260350</xdr:colOff>
      <xdr:row>384</xdr:row>
      <xdr:rowOff>447675</xdr:rowOff>
    </xdr:to>
    <xdr:pic>
      <xdr:nvPicPr>
        <xdr:cNvPr id="1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384</xdr:row>
      <xdr:rowOff>231775</xdr:rowOff>
    </xdr:from>
    <xdr:to>
      <xdr:col>10</xdr:col>
      <xdr:colOff>539750</xdr:colOff>
      <xdr:row>384</xdr:row>
      <xdr:rowOff>450850</xdr:rowOff>
    </xdr:to>
    <xdr:pic>
      <xdr:nvPicPr>
        <xdr:cNvPr id="1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388</xdr:row>
      <xdr:rowOff>228600</xdr:rowOff>
    </xdr:from>
    <xdr:to>
      <xdr:col>10</xdr:col>
      <xdr:colOff>260350</xdr:colOff>
      <xdr:row>388</xdr:row>
      <xdr:rowOff>447675</xdr:rowOff>
    </xdr:to>
    <xdr:pic>
      <xdr:nvPicPr>
        <xdr:cNvPr id="1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388</xdr:row>
      <xdr:rowOff>231775</xdr:rowOff>
    </xdr:from>
    <xdr:to>
      <xdr:col>10</xdr:col>
      <xdr:colOff>539750</xdr:colOff>
      <xdr:row>388</xdr:row>
      <xdr:rowOff>450850</xdr:rowOff>
    </xdr:to>
    <xdr:pic>
      <xdr:nvPicPr>
        <xdr:cNvPr id="1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391</xdr:row>
      <xdr:rowOff>228600</xdr:rowOff>
    </xdr:from>
    <xdr:to>
      <xdr:col>10</xdr:col>
      <xdr:colOff>260350</xdr:colOff>
      <xdr:row>391</xdr:row>
      <xdr:rowOff>447675</xdr:rowOff>
    </xdr:to>
    <xdr:pic>
      <xdr:nvPicPr>
        <xdr:cNvPr id="1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391</xdr:row>
      <xdr:rowOff>231775</xdr:rowOff>
    </xdr:from>
    <xdr:to>
      <xdr:col>10</xdr:col>
      <xdr:colOff>539750</xdr:colOff>
      <xdr:row>391</xdr:row>
      <xdr:rowOff>450850</xdr:rowOff>
    </xdr:to>
    <xdr:pic>
      <xdr:nvPicPr>
        <xdr:cNvPr id="1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396</xdr:row>
      <xdr:rowOff>228600</xdr:rowOff>
    </xdr:from>
    <xdr:to>
      <xdr:col>10</xdr:col>
      <xdr:colOff>260350</xdr:colOff>
      <xdr:row>396</xdr:row>
      <xdr:rowOff>447675</xdr:rowOff>
    </xdr:to>
    <xdr:pic>
      <xdr:nvPicPr>
        <xdr:cNvPr id="1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396</xdr:row>
      <xdr:rowOff>231775</xdr:rowOff>
    </xdr:from>
    <xdr:to>
      <xdr:col>10</xdr:col>
      <xdr:colOff>539750</xdr:colOff>
      <xdr:row>396</xdr:row>
      <xdr:rowOff>450850</xdr:rowOff>
    </xdr:to>
    <xdr:pic>
      <xdr:nvPicPr>
        <xdr:cNvPr id="1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400</xdr:row>
      <xdr:rowOff>228600</xdr:rowOff>
    </xdr:from>
    <xdr:to>
      <xdr:col>10</xdr:col>
      <xdr:colOff>260350</xdr:colOff>
      <xdr:row>400</xdr:row>
      <xdr:rowOff>447675</xdr:rowOff>
    </xdr:to>
    <xdr:pic>
      <xdr:nvPicPr>
        <xdr:cNvPr id="1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400</xdr:row>
      <xdr:rowOff>231775</xdr:rowOff>
    </xdr:from>
    <xdr:to>
      <xdr:col>10</xdr:col>
      <xdr:colOff>539750</xdr:colOff>
      <xdr:row>400</xdr:row>
      <xdr:rowOff>450850</xdr:rowOff>
    </xdr:to>
    <xdr:pic>
      <xdr:nvPicPr>
        <xdr:cNvPr id="1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404</xdr:row>
      <xdr:rowOff>228600</xdr:rowOff>
    </xdr:from>
    <xdr:to>
      <xdr:col>10</xdr:col>
      <xdr:colOff>260350</xdr:colOff>
      <xdr:row>404</xdr:row>
      <xdr:rowOff>447675</xdr:rowOff>
    </xdr:to>
    <xdr:pic>
      <xdr:nvPicPr>
        <xdr:cNvPr id="2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404</xdr:row>
      <xdr:rowOff>231775</xdr:rowOff>
    </xdr:from>
    <xdr:to>
      <xdr:col>10</xdr:col>
      <xdr:colOff>539750</xdr:colOff>
      <xdr:row>404</xdr:row>
      <xdr:rowOff>450850</xdr:rowOff>
    </xdr:to>
    <xdr:pic>
      <xdr:nvPicPr>
        <xdr:cNvPr id="2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407</xdr:row>
      <xdr:rowOff>228600</xdr:rowOff>
    </xdr:from>
    <xdr:to>
      <xdr:col>10</xdr:col>
      <xdr:colOff>260350</xdr:colOff>
      <xdr:row>407</xdr:row>
      <xdr:rowOff>447675</xdr:rowOff>
    </xdr:to>
    <xdr:pic>
      <xdr:nvPicPr>
        <xdr:cNvPr id="2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407</xdr:row>
      <xdr:rowOff>231775</xdr:rowOff>
    </xdr:from>
    <xdr:to>
      <xdr:col>10</xdr:col>
      <xdr:colOff>539750</xdr:colOff>
      <xdr:row>407</xdr:row>
      <xdr:rowOff>450850</xdr:rowOff>
    </xdr:to>
    <xdr:pic>
      <xdr:nvPicPr>
        <xdr:cNvPr id="2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</xdr:row>
      <xdr:rowOff>228600</xdr:rowOff>
    </xdr:from>
    <xdr:to>
      <xdr:col>3</xdr:col>
      <xdr:colOff>260350</xdr:colOff>
      <xdr:row>14</xdr:row>
      <xdr:rowOff>447675</xdr:rowOff>
    </xdr:to>
    <xdr:pic>
      <xdr:nvPicPr>
        <xdr:cNvPr id="2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34385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</xdr:row>
      <xdr:rowOff>231775</xdr:rowOff>
    </xdr:from>
    <xdr:to>
      <xdr:col>3</xdr:col>
      <xdr:colOff>539750</xdr:colOff>
      <xdr:row>14</xdr:row>
      <xdr:rowOff>450850</xdr:rowOff>
    </xdr:to>
    <xdr:pic>
      <xdr:nvPicPr>
        <xdr:cNvPr id="2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34417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</xdr:row>
      <xdr:rowOff>228600</xdr:rowOff>
    </xdr:from>
    <xdr:to>
      <xdr:col>3</xdr:col>
      <xdr:colOff>260350</xdr:colOff>
      <xdr:row>18</xdr:row>
      <xdr:rowOff>447675</xdr:rowOff>
    </xdr:to>
    <xdr:pic>
      <xdr:nvPicPr>
        <xdr:cNvPr id="2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40671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</xdr:row>
      <xdr:rowOff>231775</xdr:rowOff>
    </xdr:from>
    <xdr:to>
      <xdr:col>3</xdr:col>
      <xdr:colOff>539750</xdr:colOff>
      <xdr:row>18</xdr:row>
      <xdr:rowOff>450850</xdr:rowOff>
    </xdr:to>
    <xdr:pic>
      <xdr:nvPicPr>
        <xdr:cNvPr id="2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40703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</xdr:row>
      <xdr:rowOff>228600</xdr:rowOff>
    </xdr:from>
    <xdr:to>
      <xdr:col>3</xdr:col>
      <xdr:colOff>260350</xdr:colOff>
      <xdr:row>22</xdr:row>
      <xdr:rowOff>447675</xdr:rowOff>
    </xdr:to>
    <xdr:pic>
      <xdr:nvPicPr>
        <xdr:cNvPr id="20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46958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</xdr:row>
      <xdr:rowOff>231775</xdr:rowOff>
    </xdr:from>
    <xdr:to>
      <xdr:col>3</xdr:col>
      <xdr:colOff>539750</xdr:colOff>
      <xdr:row>22</xdr:row>
      <xdr:rowOff>450850</xdr:rowOff>
    </xdr:to>
    <xdr:pic>
      <xdr:nvPicPr>
        <xdr:cNvPr id="2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46990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</xdr:row>
      <xdr:rowOff>228600</xdr:rowOff>
    </xdr:from>
    <xdr:to>
      <xdr:col>3</xdr:col>
      <xdr:colOff>260350</xdr:colOff>
      <xdr:row>26</xdr:row>
      <xdr:rowOff>447675</xdr:rowOff>
    </xdr:to>
    <xdr:pic>
      <xdr:nvPicPr>
        <xdr:cNvPr id="2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53244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</xdr:row>
      <xdr:rowOff>231775</xdr:rowOff>
    </xdr:from>
    <xdr:to>
      <xdr:col>3</xdr:col>
      <xdr:colOff>539750</xdr:colOff>
      <xdr:row>26</xdr:row>
      <xdr:rowOff>450850</xdr:rowOff>
    </xdr:to>
    <xdr:pic>
      <xdr:nvPicPr>
        <xdr:cNvPr id="2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53276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</xdr:row>
      <xdr:rowOff>228600</xdr:rowOff>
    </xdr:from>
    <xdr:to>
      <xdr:col>3</xdr:col>
      <xdr:colOff>260350</xdr:colOff>
      <xdr:row>29</xdr:row>
      <xdr:rowOff>447675</xdr:rowOff>
    </xdr:to>
    <xdr:pic>
      <xdr:nvPicPr>
        <xdr:cNvPr id="2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595312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</xdr:row>
      <xdr:rowOff>231775</xdr:rowOff>
    </xdr:from>
    <xdr:to>
      <xdr:col>3</xdr:col>
      <xdr:colOff>539750</xdr:colOff>
      <xdr:row>29</xdr:row>
      <xdr:rowOff>450850</xdr:rowOff>
    </xdr:to>
    <xdr:pic>
      <xdr:nvPicPr>
        <xdr:cNvPr id="2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595630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</xdr:row>
      <xdr:rowOff>228600</xdr:rowOff>
    </xdr:from>
    <xdr:to>
      <xdr:col>3</xdr:col>
      <xdr:colOff>260350</xdr:colOff>
      <xdr:row>32</xdr:row>
      <xdr:rowOff>447675</xdr:rowOff>
    </xdr:to>
    <xdr:pic>
      <xdr:nvPicPr>
        <xdr:cNvPr id="21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6581775"/>
          <a:ext cx="1905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</xdr:row>
      <xdr:rowOff>231775</xdr:rowOff>
    </xdr:from>
    <xdr:to>
      <xdr:col>3</xdr:col>
      <xdr:colOff>539750</xdr:colOff>
      <xdr:row>32</xdr:row>
      <xdr:rowOff>450850</xdr:rowOff>
    </xdr:to>
    <xdr:pic>
      <xdr:nvPicPr>
        <xdr:cNvPr id="2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6584950"/>
          <a:ext cx="2190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36</xdr:row>
      <xdr:rowOff>228600</xdr:rowOff>
    </xdr:from>
    <xdr:to>
      <xdr:col>3</xdr:col>
      <xdr:colOff>260350</xdr:colOff>
      <xdr:row>36</xdr:row>
      <xdr:rowOff>447675</xdr:rowOff>
    </xdr:to>
    <xdr:pic>
      <xdr:nvPicPr>
        <xdr:cNvPr id="2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36</xdr:row>
      <xdr:rowOff>231775</xdr:rowOff>
    </xdr:from>
    <xdr:to>
      <xdr:col>3</xdr:col>
      <xdr:colOff>539750</xdr:colOff>
      <xdr:row>36</xdr:row>
      <xdr:rowOff>450850</xdr:rowOff>
    </xdr:to>
    <xdr:pic>
      <xdr:nvPicPr>
        <xdr:cNvPr id="2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</xdr:row>
      <xdr:rowOff>228600</xdr:rowOff>
    </xdr:from>
    <xdr:to>
      <xdr:col>3</xdr:col>
      <xdr:colOff>260350</xdr:colOff>
      <xdr:row>40</xdr:row>
      <xdr:rowOff>447675</xdr:rowOff>
    </xdr:to>
    <xdr:pic>
      <xdr:nvPicPr>
        <xdr:cNvPr id="2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</xdr:row>
      <xdr:rowOff>231775</xdr:rowOff>
    </xdr:from>
    <xdr:to>
      <xdr:col>3</xdr:col>
      <xdr:colOff>539750</xdr:colOff>
      <xdr:row>40</xdr:row>
      <xdr:rowOff>450850</xdr:rowOff>
    </xdr:to>
    <xdr:pic>
      <xdr:nvPicPr>
        <xdr:cNvPr id="2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44</xdr:row>
      <xdr:rowOff>228600</xdr:rowOff>
    </xdr:from>
    <xdr:to>
      <xdr:col>3</xdr:col>
      <xdr:colOff>260350</xdr:colOff>
      <xdr:row>44</xdr:row>
      <xdr:rowOff>447675</xdr:rowOff>
    </xdr:to>
    <xdr:pic>
      <xdr:nvPicPr>
        <xdr:cNvPr id="22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44</xdr:row>
      <xdr:rowOff>231775</xdr:rowOff>
    </xdr:from>
    <xdr:to>
      <xdr:col>3</xdr:col>
      <xdr:colOff>539750</xdr:colOff>
      <xdr:row>44</xdr:row>
      <xdr:rowOff>450850</xdr:rowOff>
    </xdr:to>
    <xdr:pic>
      <xdr:nvPicPr>
        <xdr:cNvPr id="2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48</xdr:row>
      <xdr:rowOff>228600</xdr:rowOff>
    </xdr:from>
    <xdr:to>
      <xdr:col>3</xdr:col>
      <xdr:colOff>260350</xdr:colOff>
      <xdr:row>48</xdr:row>
      <xdr:rowOff>447675</xdr:rowOff>
    </xdr:to>
    <xdr:pic>
      <xdr:nvPicPr>
        <xdr:cNvPr id="2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48</xdr:row>
      <xdr:rowOff>231775</xdr:rowOff>
    </xdr:from>
    <xdr:to>
      <xdr:col>3</xdr:col>
      <xdr:colOff>539750</xdr:colOff>
      <xdr:row>48</xdr:row>
      <xdr:rowOff>450850</xdr:rowOff>
    </xdr:to>
    <xdr:pic>
      <xdr:nvPicPr>
        <xdr:cNvPr id="2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52</xdr:row>
      <xdr:rowOff>228600</xdr:rowOff>
    </xdr:from>
    <xdr:to>
      <xdr:col>3</xdr:col>
      <xdr:colOff>260350</xdr:colOff>
      <xdr:row>52</xdr:row>
      <xdr:rowOff>447675</xdr:rowOff>
    </xdr:to>
    <xdr:pic>
      <xdr:nvPicPr>
        <xdr:cNvPr id="2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52</xdr:row>
      <xdr:rowOff>231775</xdr:rowOff>
    </xdr:from>
    <xdr:to>
      <xdr:col>3</xdr:col>
      <xdr:colOff>539750</xdr:colOff>
      <xdr:row>53</xdr:row>
      <xdr:rowOff>3175</xdr:rowOff>
    </xdr:to>
    <xdr:pic>
      <xdr:nvPicPr>
        <xdr:cNvPr id="2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60</xdr:row>
      <xdr:rowOff>228600</xdr:rowOff>
    </xdr:from>
    <xdr:to>
      <xdr:col>3</xdr:col>
      <xdr:colOff>260350</xdr:colOff>
      <xdr:row>60</xdr:row>
      <xdr:rowOff>447675</xdr:rowOff>
    </xdr:to>
    <xdr:pic>
      <xdr:nvPicPr>
        <xdr:cNvPr id="2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60</xdr:row>
      <xdr:rowOff>231775</xdr:rowOff>
    </xdr:from>
    <xdr:to>
      <xdr:col>3</xdr:col>
      <xdr:colOff>539750</xdr:colOff>
      <xdr:row>60</xdr:row>
      <xdr:rowOff>450850</xdr:rowOff>
    </xdr:to>
    <xdr:pic>
      <xdr:nvPicPr>
        <xdr:cNvPr id="2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64</xdr:row>
      <xdr:rowOff>228600</xdr:rowOff>
    </xdr:from>
    <xdr:to>
      <xdr:col>3</xdr:col>
      <xdr:colOff>260350</xdr:colOff>
      <xdr:row>64</xdr:row>
      <xdr:rowOff>447675</xdr:rowOff>
    </xdr:to>
    <xdr:pic>
      <xdr:nvPicPr>
        <xdr:cNvPr id="2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64</xdr:row>
      <xdr:rowOff>231775</xdr:rowOff>
    </xdr:from>
    <xdr:to>
      <xdr:col>3</xdr:col>
      <xdr:colOff>539750</xdr:colOff>
      <xdr:row>64</xdr:row>
      <xdr:rowOff>450850</xdr:rowOff>
    </xdr:to>
    <xdr:pic>
      <xdr:nvPicPr>
        <xdr:cNvPr id="2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68</xdr:row>
      <xdr:rowOff>228600</xdr:rowOff>
    </xdr:from>
    <xdr:to>
      <xdr:col>3</xdr:col>
      <xdr:colOff>260350</xdr:colOff>
      <xdr:row>68</xdr:row>
      <xdr:rowOff>447675</xdr:rowOff>
    </xdr:to>
    <xdr:pic>
      <xdr:nvPicPr>
        <xdr:cNvPr id="2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68</xdr:row>
      <xdr:rowOff>231775</xdr:rowOff>
    </xdr:from>
    <xdr:to>
      <xdr:col>3</xdr:col>
      <xdr:colOff>539750</xdr:colOff>
      <xdr:row>68</xdr:row>
      <xdr:rowOff>450850</xdr:rowOff>
    </xdr:to>
    <xdr:pic>
      <xdr:nvPicPr>
        <xdr:cNvPr id="2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72</xdr:row>
      <xdr:rowOff>228600</xdr:rowOff>
    </xdr:from>
    <xdr:to>
      <xdr:col>3</xdr:col>
      <xdr:colOff>260350</xdr:colOff>
      <xdr:row>72</xdr:row>
      <xdr:rowOff>447675</xdr:rowOff>
    </xdr:to>
    <xdr:pic>
      <xdr:nvPicPr>
        <xdr:cNvPr id="2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72</xdr:row>
      <xdr:rowOff>231775</xdr:rowOff>
    </xdr:from>
    <xdr:to>
      <xdr:col>3</xdr:col>
      <xdr:colOff>539750</xdr:colOff>
      <xdr:row>72</xdr:row>
      <xdr:rowOff>450850</xdr:rowOff>
    </xdr:to>
    <xdr:pic>
      <xdr:nvPicPr>
        <xdr:cNvPr id="2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76</xdr:row>
      <xdr:rowOff>228600</xdr:rowOff>
    </xdr:from>
    <xdr:to>
      <xdr:col>3</xdr:col>
      <xdr:colOff>260350</xdr:colOff>
      <xdr:row>76</xdr:row>
      <xdr:rowOff>447675</xdr:rowOff>
    </xdr:to>
    <xdr:pic>
      <xdr:nvPicPr>
        <xdr:cNvPr id="2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76</xdr:row>
      <xdr:rowOff>231775</xdr:rowOff>
    </xdr:from>
    <xdr:to>
      <xdr:col>3</xdr:col>
      <xdr:colOff>539750</xdr:colOff>
      <xdr:row>76</xdr:row>
      <xdr:rowOff>450850</xdr:rowOff>
    </xdr:to>
    <xdr:pic>
      <xdr:nvPicPr>
        <xdr:cNvPr id="2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79</xdr:row>
      <xdr:rowOff>228600</xdr:rowOff>
    </xdr:from>
    <xdr:to>
      <xdr:col>3</xdr:col>
      <xdr:colOff>260350</xdr:colOff>
      <xdr:row>79</xdr:row>
      <xdr:rowOff>447675</xdr:rowOff>
    </xdr:to>
    <xdr:pic>
      <xdr:nvPicPr>
        <xdr:cNvPr id="2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79</xdr:row>
      <xdr:rowOff>231775</xdr:rowOff>
    </xdr:from>
    <xdr:to>
      <xdr:col>3</xdr:col>
      <xdr:colOff>539750</xdr:colOff>
      <xdr:row>79</xdr:row>
      <xdr:rowOff>450850</xdr:rowOff>
    </xdr:to>
    <xdr:pic>
      <xdr:nvPicPr>
        <xdr:cNvPr id="2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82</xdr:row>
      <xdr:rowOff>228600</xdr:rowOff>
    </xdr:from>
    <xdr:to>
      <xdr:col>3</xdr:col>
      <xdr:colOff>260350</xdr:colOff>
      <xdr:row>82</xdr:row>
      <xdr:rowOff>447675</xdr:rowOff>
    </xdr:to>
    <xdr:pic>
      <xdr:nvPicPr>
        <xdr:cNvPr id="2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82</xdr:row>
      <xdr:rowOff>231775</xdr:rowOff>
    </xdr:from>
    <xdr:to>
      <xdr:col>3</xdr:col>
      <xdr:colOff>539750</xdr:colOff>
      <xdr:row>82</xdr:row>
      <xdr:rowOff>450850</xdr:rowOff>
    </xdr:to>
    <xdr:pic>
      <xdr:nvPicPr>
        <xdr:cNvPr id="2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85</xdr:row>
      <xdr:rowOff>228600</xdr:rowOff>
    </xdr:from>
    <xdr:to>
      <xdr:col>3</xdr:col>
      <xdr:colOff>260350</xdr:colOff>
      <xdr:row>85</xdr:row>
      <xdr:rowOff>447675</xdr:rowOff>
    </xdr:to>
    <xdr:pic>
      <xdr:nvPicPr>
        <xdr:cNvPr id="2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85</xdr:row>
      <xdr:rowOff>231775</xdr:rowOff>
    </xdr:from>
    <xdr:to>
      <xdr:col>3</xdr:col>
      <xdr:colOff>539750</xdr:colOff>
      <xdr:row>85</xdr:row>
      <xdr:rowOff>450850</xdr:rowOff>
    </xdr:to>
    <xdr:pic>
      <xdr:nvPicPr>
        <xdr:cNvPr id="2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89</xdr:row>
      <xdr:rowOff>228600</xdr:rowOff>
    </xdr:from>
    <xdr:to>
      <xdr:col>3</xdr:col>
      <xdr:colOff>260350</xdr:colOff>
      <xdr:row>89</xdr:row>
      <xdr:rowOff>447675</xdr:rowOff>
    </xdr:to>
    <xdr:pic>
      <xdr:nvPicPr>
        <xdr:cNvPr id="2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89</xdr:row>
      <xdr:rowOff>231775</xdr:rowOff>
    </xdr:from>
    <xdr:to>
      <xdr:col>3</xdr:col>
      <xdr:colOff>539750</xdr:colOff>
      <xdr:row>89</xdr:row>
      <xdr:rowOff>450850</xdr:rowOff>
    </xdr:to>
    <xdr:pic>
      <xdr:nvPicPr>
        <xdr:cNvPr id="2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93</xdr:row>
      <xdr:rowOff>228600</xdr:rowOff>
    </xdr:from>
    <xdr:to>
      <xdr:col>3</xdr:col>
      <xdr:colOff>260350</xdr:colOff>
      <xdr:row>93</xdr:row>
      <xdr:rowOff>447675</xdr:rowOff>
    </xdr:to>
    <xdr:pic>
      <xdr:nvPicPr>
        <xdr:cNvPr id="2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93</xdr:row>
      <xdr:rowOff>231775</xdr:rowOff>
    </xdr:from>
    <xdr:to>
      <xdr:col>3</xdr:col>
      <xdr:colOff>539750</xdr:colOff>
      <xdr:row>93</xdr:row>
      <xdr:rowOff>450850</xdr:rowOff>
    </xdr:to>
    <xdr:pic>
      <xdr:nvPicPr>
        <xdr:cNvPr id="2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97</xdr:row>
      <xdr:rowOff>228600</xdr:rowOff>
    </xdr:from>
    <xdr:to>
      <xdr:col>3</xdr:col>
      <xdr:colOff>260350</xdr:colOff>
      <xdr:row>97</xdr:row>
      <xdr:rowOff>447675</xdr:rowOff>
    </xdr:to>
    <xdr:pic>
      <xdr:nvPicPr>
        <xdr:cNvPr id="2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97</xdr:row>
      <xdr:rowOff>231775</xdr:rowOff>
    </xdr:from>
    <xdr:to>
      <xdr:col>3</xdr:col>
      <xdr:colOff>539750</xdr:colOff>
      <xdr:row>97</xdr:row>
      <xdr:rowOff>450850</xdr:rowOff>
    </xdr:to>
    <xdr:pic>
      <xdr:nvPicPr>
        <xdr:cNvPr id="2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101</xdr:row>
      <xdr:rowOff>228600</xdr:rowOff>
    </xdr:from>
    <xdr:to>
      <xdr:col>3</xdr:col>
      <xdr:colOff>260350</xdr:colOff>
      <xdr:row>101</xdr:row>
      <xdr:rowOff>447675</xdr:rowOff>
    </xdr:to>
    <xdr:pic>
      <xdr:nvPicPr>
        <xdr:cNvPr id="2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101</xdr:row>
      <xdr:rowOff>231775</xdr:rowOff>
    </xdr:from>
    <xdr:to>
      <xdr:col>3</xdr:col>
      <xdr:colOff>539750</xdr:colOff>
      <xdr:row>101</xdr:row>
      <xdr:rowOff>450850</xdr:rowOff>
    </xdr:to>
    <xdr:pic>
      <xdr:nvPicPr>
        <xdr:cNvPr id="2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105</xdr:row>
      <xdr:rowOff>228600</xdr:rowOff>
    </xdr:from>
    <xdr:to>
      <xdr:col>3</xdr:col>
      <xdr:colOff>260350</xdr:colOff>
      <xdr:row>105</xdr:row>
      <xdr:rowOff>447675</xdr:rowOff>
    </xdr:to>
    <xdr:pic>
      <xdr:nvPicPr>
        <xdr:cNvPr id="2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105</xdr:row>
      <xdr:rowOff>231775</xdr:rowOff>
    </xdr:from>
    <xdr:to>
      <xdr:col>3</xdr:col>
      <xdr:colOff>539750</xdr:colOff>
      <xdr:row>105</xdr:row>
      <xdr:rowOff>450850</xdr:rowOff>
    </xdr:to>
    <xdr:pic>
      <xdr:nvPicPr>
        <xdr:cNvPr id="2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109</xdr:row>
      <xdr:rowOff>228600</xdr:rowOff>
    </xdr:from>
    <xdr:to>
      <xdr:col>3</xdr:col>
      <xdr:colOff>260350</xdr:colOff>
      <xdr:row>109</xdr:row>
      <xdr:rowOff>447675</xdr:rowOff>
    </xdr:to>
    <xdr:pic>
      <xdr:nvPicPr>
        <xdr:cNvPr id="2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109</xdr:row>
      <xdr:rowOff>231775</xdr:rowOff>
    </xdr:from>
    <xdr:to>
      <xdr:col>3</xdr:col>
      <xdr:colOff>539750</xdr:colOff>
      <xdr:row>109</xdr:row>
      <xdr:rowOff>450850</xdr:rowOff>
    </xdr:to>
    <xdr:pic>
      <xdr:nvPicPr>
        <xdr:cNvPr id="2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112</xdr:row>
      <xdr:rowOff>228600</xdr:rowOff>
    </xdr:from>
    <xdr:to>
      <xdr:col>3</xdr:col>
      <xdr:colOff>260350</xdr:colOff>
      <xdr:row>112</xdr:row>
      <xdr:rowOff>447675</xdr:rowOff>
    </xdr:to>
    <xdr:pic>
      <xdr:nvPicPr>
        <xdr:cNvPr id="2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112</xdr:row>
      <xdr:rowOff>231775</xdr:rowOff>
    </xdr:from>
    <xdr:to>
      <xdr:col>3</xdr:col>
      <xdr:colOff>539750</xdr:colOff>
      <xdr:row>112</xdr:row>
      <xdr:rowOff>450850</xdr:rowOff>
    </xdr:to>
    <xdr:pic>
      <xdr:nvPicPr>
        <xdr:cNvPr id="2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115</xdr:row>
      <xdr:rowOff>228600</xdr:rowOff>
    </xdr:from>
    <xdr:to>
      <xdr:col>3</xdr:col>
      <xdr:colOff>260350</xdr:colOff>
      <xdr:row>115</xdr:row>
      <xdr:rowOff>447675</xdr:rowOff>
    </xdr:to>
    <xdr:pic>
      <xdr:nvPicPr>
        <xdr:cNvPr id="2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115</xdr:row>
      <xdr:rowOff>231775</xdr:rowOff>
    </xdr:from>
    <xdr:to>
      <xdr:col>3</xdr:col>
      <xdr:colOff>539750</xdr:colOff>
      <xdr:row>115</xdr:row>
      <xdr:rowOff>450850</xdr:rowOff>
    </xdr:to>
    <xdr:pic>
      <xdr:nvPicPr>
        <xdr:cNvPr id="2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119</xdr:row>
      <xdr:rowOff>228600</xdr:rowOff>
    </xdr:from>
    <xdr:to>
      <xdr:col>3</xdr:col>
      <xdr:colOff>260350</xdr:colOff>
      <xdr:row>119</xdr:row>
      <xdr:rowOff>447675</xdr:rowOff>
    </xdr:to>
    <xdr:pic>
      <xdr:nvPicPr>
        <xdr:cNvPr id="2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119</xdr:row>
      <xdr:rowOff>231775</xdr:rowOff>
    </xdr:from>
    <xdr:to>
      <xdr:col>3</xdr:col>
      <xdr:colOff>539750</xdr:colOff>
      <xdr:row>119</xdr:row>
      <xdr:rowOff>450850</xdr:rowOff>
    </xdr:to>
    <xdr:pic>
      <xdr:nvPicPr>
        <xdr:cNvPr id="2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123</xdr:row>
      <xdr:rowOff>228600</xdr:rowOff>
    </xdr:from>
    <xdr:to>
      <xdr:col>3</xdr:col>
      <xdr:colOff>260350</xdr:colOff>
      <xdr:row>123</xdr:row>
      <xdr:rowOff>447675</xdr:rowOff>
    </xdr:to>
    <xdr:pic>
      <xdr:nvPicPr>
        <xdr:cNvPr id="2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123</xdr:row>
      <xdr:rowOff>231775</xdr:rowOff>
    </xdr:from>
    <xdr:to>
      <xdr:col>3</xdr:col>
      <xdr:colOff>539750</xdr:colOff>
      <xdr:row>123</xdr:row>
      <xdr:rowOff>450850</xdr:rowOff>
    </xdr:to>
    <xdr:pic>
      <xdr:nvPicPr>
        <xdr:cNvPr id="2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127</xdr:row>
      <xdr:rowOff>228600</xdr:rowOff>
    </xdr:from>
    <xdr:to>
      <xdr:col>3</xdr:col>
      <xdr:colOff>260350</xdr:colOff>
      <xdr:row>127</xdr:row>
      <xdr:rowOff>447675</xdr:rowOff>
    </xdr:to>
    <xdr:pic>
      <xdr:nvPicPr>
        <xdr:cNvPr id="2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127</xdr:row>
      <xdr:rowOff>231775</xdr:rowOff>
    </xdr:from>
    <xdr:to>
      <xdr:col>3</xdr:col>
      <xdr:colOff>539750</xdr:colOff>
      <xdr:row>127</xdr:row>
      <xdr:rowOff>450850</xdr:rowOff>
    </xdr:to>
    <xdr:pic>
      <xdr:nvPicPr>
        <xdr:cNvPr id="2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131</xdr:row>
      <xdr:rowOff>228600</xdr:rowOff>
    </xdr:from>
    <xdr:to>
      <xdr:col>3</xdr:col>
      <xdr:colOff>260350</xdr:colOff>
      <xdr:row>131</xdr:row>
      <xdr:rowOff>447675</xdr:rowOff>
    </xdr:to>
    <xdr:pic>
      <xdr:nvPicPr>
        <xdr:cNvPr id="2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131</xdr:row>
      <xdr:rowOff>231775</xdr:rowOff>
    </xdr:from>
    <xdr:to>
      <xdr:col>3</xdr:col>
      <xdr:colOff>539750</xdr:colOff>
      <xdr:row>131</xdr:row>
      <xdr:rowOff>450850</xdr:rowOff>
    </xdr:to>
    <xdr:pic>
      <xdr:nvPicPr>
        <xdr:cNvPr id="2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135</xdr:row>
      <xdr:rowOff>228600</xdr:rowOff>
    </xdr:from>
    <xdr:to>
      <xdr:col>3</xdr:col>
      <xdr:colOff>260350</xdr:colOff>
      <xdr:row>135</xdr:row>
      <xdr:rowOff>447675</xdr:rowOff>
    </xdr:to>
    <xdr:pic>
      <xdr:nvPicPr>
        <xdr:cNvPr id="2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135</xdr:row>
      <xdr:rowOff>231775</xdr:rowOff>
    </xdr:from>
    <xdr:to>
      <xdr:col>3</xdr:col>
      <xdr:colOff>539750</xdr:colOff>
      <xdr:row>135</xdr:row>
      <xdr:rowOff>450850</xdr:rowOff>
    </xdr:to>
    <xdr:pic>
      <xdr:nvPicPr>
        <xdr:cNvPr id="2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139</xdr:row>
      <xdr:rowOff>228600</xdr:rowOff>
    </xdr:from>
    <xdr:to>
      <xdr:col>3</xdr:col>
      <xdr:colOff>260350</xdr:colOff>
      <xdr:row>139</xdr:row>
      <xdr:rowOff>447675</xdr:rowOff>
    </xdr:to>
    <xdr:pic>
      <xdr:nvPicPr>
        <xdr:cNvPr id="2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139</xdr:row>
      <xdr:rowOff>231775</xdr:rowOff>
    </xdr:from>
    <xdr:to>
      <xdr:col>3</xdr:col>
      <xdr:colOff>539750</xdr:colOff>
      <xdr:row>139</xdr:row>
      <xdr:rowOff>450850</xdr:rowOff>
    </xdr:to>
    <xdr:pic>
      <xdr:nvPicPr>
        <xdr:cNvPr id="2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143</xdr:row>
      <xdr:rowOff>228600</xdr:rowOff>
    </xdr:from>
    <xdr:to>
      <xdr:col>3</xdr:col>
      <xdr:colOff>260350</xdr:colOff>
      <xdr:row>143</xdr:row>
      <xdr:rowOff>447675</xdr:rowOff>
    </xdr:to>
    <xdr:pic>
      <xdr:nvPicPr>
        <xdr:cNvPr id="2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143</xdr:row>
      <xdr:rowOff>231775</xdr:rowOff>
    </xdr:from>
    <xdr:to>
      <xdr:col>3</xdr:col>
      <xdr:colOff>539750</xdr:colOff>
      <xdr:row>143</xdr:row>
      <xdr:rowOff>450850</xdr:rowOff>
    </xdr:to>
    <xdr:pic>
      <xdr:nvPicPr>
        <xdr:cNvPr id="2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147</xdr:row>
      <xdr:rowOff>228600</xdr:rowOff>
    </xdr:from>
    <xdr:to>
      <xdr:col>3</xdr:col>
      <xdr:colOff>260350</xdr:colOff>
      <xdr:row>147</xdr:row>
      <xdr:rowOff>447675</xdr:rowOff>
    </xdr:to>
    <xdr:pic>
      <xdr:nvPicPr>
        <xdr:cNvPr id="2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147</xdr:row>
      <xdr:rowOff>231775</xdr:rowOff>
    </xdr:from>
    <xdr:to>
      <xdr:col>3</xdr:col>
      <xdr:colOff>539750</xdr:colOff>
      <xdr:row>147</xdr:row>
      <xdr:rowOff>450850</xdr:rowOff>
    </xdr:to>
    <xdr:pic>
      <xdr:nvPicPr>
        <xdr:cNvPr id="2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155</xdr:row>
      <xdr:rowOff>228600</xdr:rowOff>
    </xdr:from>
    <xdr:to>
      <xdr:col>3</xdr:col>
      <xdr:colOff>260350</xdr:colOff>
      <xdr:row>155</xdr:row>
      <xdr:rowOff>447675</xdr:rowOff>
    </xdr:to>
    <xdr:pic>
      <xdr:nvPicPr>
        <xdr:cNvPr id="2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2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160</xdr:row>
      <xdr:rowOff>0</xdr:rowOff>
    </xdr:from>
    <xdr:to>
      <xdr:col>3</xdr:col>
      <xdr:colOff>539750</xdr:colOff>
      <xdr:row>160</xdr:row>
      <xdr:rowOff>0</xdr:rowOff>
    </xdr:to>
    <xdr:pic>
      <xdr:nvPicPr>
        <xdr:cNvPr id="27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163</xdr:row>
      <xdr:rowOff>228600</xdr:rowOff>
    </xdr:from>
    <xdr:to>
      <xdr:col>3</xdr:col>
      <xdr:colOff>260350</xdr:colOff>
      <xdr:row>163</xdr:row>
      <xdr:rowOff>447675</xdr:rowOff>
    </xdr:to>
    <xdr:pic>
      <xdr:nvPicPr>
        <xdr:cNvPr id="27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163</xdr:row>
      <xdr:rowOff>231775</xdr:rowOff>
    </xdr:from>
    <xdr:to>
      <xdr:col>3</xdr:col>
      <xdr:colOff>539750</xdr:colOff>
      <xdr:row>163</xdr:row>
      <xdr:rowOff>450850</xdr:rowOff>
    </xdr:to>
    <xdr:pic>
      <xdr:nvPicPr>
        <xdr:cNvPr id="27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166</xdr:row>
      <xdr:rowOff>228600</xdr:rowOff>
    </xdr:from>
    <xdr:to>
      <xdr:col>3</xdr:col>
      <xdr:colOff>260350</xdr:colOff>
      <xdr:row>166</xdr:row>
      <xdr:rowOff>447675</xdr:rowOff>
    </xdr:to>
    <xdr:pic>
      <xdr:nvPicPr>
        <xdr:cNvPr id="27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166</xdr:row>
      <xdr:rowOff>231775</xdr:rowOff>
    </xdr:from>
    <xdr:to>
      <xdr:col>3</xdr:col>
      <xdr:colOff>539750</xdr:colOff>
      <xdr:row>166</xdr:row>
      <xdr:rowOff>450850</xdr:rowOff>
    </xdr:to>
    <xdr:pic>
      <xdr:nvPicPr>
        <xdr:cNvPr id="28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169</xdr:row>
      <xdr:rowOff>228600</xdr:rowOff>
    </xdr:from>
    <xdr:to>
      <xdr:col>3</xdr:col>
      <xdr:colOff>260350</xdr:colOff>
      <xdr:row>169</xdr:row>
      <xdr:rowOff>447675</xdr:rowOff>
    </xdr:to>
    <xdr:pic>
      <xdr:nvPicPr>
        <xdr:cNvPr id="28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28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177</xdr:row>
      <xdr:rowOff>228600</xdr:rowOff>
    </xdr:from>
    <xdr:to>
      <xdr:col>3</xdr:col>
      <xdr:colOff>260350</xdr:colOff>
      <xdr:row>177</xdr:row>
      <xdr:rowOff>447675</xdr:rowOff>
    </xdr:to>
    <xdr:pic>
      <xdr:nvPicPr>
        <xdr:cNvPr id="28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177</xdr:row>
      <xdr:rowOff>231775</xdr:rowOff>
    </xdr:from>
    <xdr:to>
      <xdr:col>3</xdr:col>
      <xdr:colOff>539750</xdr:colOff>
      <xdr:row>177</xdr:row>
      <xdr:rowOff>450850</xdr:rowOff>
    </xdr:to>
    <xdr:pic>
      <xdr:nvPicPr>
        <xdr:cNvPr id="28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181</xdr:row>
      <xdr:rowOff>228600</xdr:rowOff>
    </xdr:from>
    <xdr:to>
      <xdr:col>3</xdr:col>
      <xdr:colOff>260350</xdr:colOff>
      <xdr:row>181</xdr:row>
      <xdr:rowOff>447675</xdr:rowOff>
    </xdr:to>
    <xdr:pic>
      <xdr:nvPicPr>
        <xdr:cNvPr id="28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181</xdr:row>
      <xdr:rowOff>231775</xdr:rowOff>
    </xdr:from>
    <xdr:to>
      <xdr:col>3</xdr:col>
      <xdr:colOff>539750</xdr:colOff>
      <xdr:row>181</xdr:row>
      <xdr:rowOff>450850</xdr:rowOff>
    </xdr:to>
    <xdr:pic>
      <xdr:nvPicPr>
        <xdr:cNvPr id="28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185</xdr:row>
      <xdr:rowOff>228600</xdr:rowOff>
    </xdr:from>
    <xdr:to>
      <xdr:col>3</xdr:col>
      <xdr:colOff>260350</xdr:colOff>
      <xdr:row>185</xdr:row>
      <xdr:rowOff>447675</xdr:rowOff>
    </xdr:to>
    <xdr:pic>
      <xdr:nvPicPr>
        <xdr:cNvPr id="28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185</xdr:row>
      <xdr:rowOff>231775</xdr:rowOff>
    </xdr:from>
    <xdr:to>
      <xdr:col>3</xdr:col>
      <xdr:colOff>539750</xdr:colOff>
      <xdr:row>185</xdr:row>
      <xdr:rowOff>450850</xdr:rowOff>
    </xdr:to>
    <xdr:pic>
      <xdr:nvPicPr>
        <xdr:cNvPr id="28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189</xdr:row>
      <xdr:rowOff>228600</xdr:rowOff>
    </xdr:from>
    <xdr:to>
      <xdr:col>3</xdr:col>
      <xdr:colOff>260350</xdr:colOff>
      <xdr:row>189</xdr:row>
      <xdr:rowOff>447675</xdr:rowOff>
    </xdr:to>
    <xdr:pic>
      <xdr:nvPicPr>
        <xdr:cNvPr id="28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189</xdr:row>
      <xdr:rowOff>231775</xdr:rowOff>
    </xdr:from>
    <xdr:to>
      <xdr:col>3</xdr:col>
      <xdr:colOff>539750</xdr:colOff>
      <xdr:row>189</xdr:row>
      <xdr:rowOff>450850</xdr:rowOff>
    </xdr:to>
    <xdr:pic>
      <xdr:nvPicPr>
        <xdr:cNvPr id="29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193</xdr:row>
      <xdr:rowOff>228600</xdr:rowOff>
    </xdr:from>
    <xdr:to>
      <xdr:col>3</xdr:col>
      <xdr:colOff>260350</xdr:colOff>
      <xdr:row>193</xdr:row>
      <xdr:rowOff>447675</xdr:rowOff>
    </xdr:to>
    <xdr:pic>
      <xdr:nvPicPr>
        <xdr:cNvPr id="29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193</xdr:row>
      <xdr:rowOff>231775</xdr:rowOff>
    </xdr:from>
    <xdr:to>
      <xdr:col>3</xdr:col>
      <xdr:colOff>539750</xdr:colOff>
      <xdr:row>193</xdr:row>
      <xdr:rowOff>450850</xdr:rowOff>
    </xdr:to>
    <xdr:pic>
      <xdr:nvPicPr>
        <xdr:cNvPr id="29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201</xdr:row>
      <xdr:rowOff>228600</xdr:rowOff>
    </xdr:from>
    <xdr:to>
      <xdr:col>3</xdr:col>
      <xdr:colOff>260350</xdr:colOff>
      <xdr:row>201</xdr:row>
      <xdr:rowOff>447675</xdr:rowOff>
    </xdr:to>
    <xdr:pic>
      <xdr:nvPicPr>
        <xdr:cNvPr id="29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201</xdr:row>
      <xdr:rowOff>231775</xdr:rowOff>
    </xdr:from>
    <xdr:to>
      <xdr:col>3</xdr:col>
      <xdr:colOff>539750</xdr:colOff>
      <xdr:row>201</xdr:row>
      <xdr:rowOff>450850</xdr:rowOff>
    </xdr:to>
    <xdr:pic>
      <xdr:nvPicPr>
        <xdr:cNvPr id="29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205</xdr:row>
      <xdr:rowOff>228600</xdr:rowOff>
    </xdr:from>
    <xdr:to>
      <xdr:col>3</xdr:col>
      <xdr:colOff>260350</xdr:colOff>
      <xdr:row>205</xdr:row>
      <xdr:rowOff>447675</xdr:rowOff>
    </xdr:to>
    <xdr:pic>
      <xdr:nvPicPr>
        <xdr:cNvPr id="29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205</xdr:row>
      <xdr:rowOff>231775</xdr:rowOff>
    </xdr:from>
    <xdr:to>
      <xdr:col>3</xdr:col>
      <xdr:colOff>539750</xdr:colOff>
      <xdr:row>205</xdr:row>
      <xdr:rowOff>450850</xdr:rowOff>
    </xdr:to>
    <xdr:pic>
      <xdr:nvPicPr>
        <xdr:cNvPr id="29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209</xdr:row>
      <xdr:rowOff>228600</xdr:rowOff>
    </xdr:from>
    <xdr:to>
      <xdr:col>3</xdr:col>
      <xdr:colOff>260350</xdr:colOff>
      <xdr:row>209</xdr:row>
      <xdr:rowOff>447675</xdr:rowOff>
    </xdr:to>
    <xdr:pic>
      <xdr:nvPicPr>
        <xdr:cNvPr id="29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209</xdr:row>
      <xdr:rowOff>231775</xdr:rowOff>
    </xdr:from>
    <xdr:to>
      <xdr:col>3</xdr:col>
      <xdr:colOff>539750</xdr:colOff>
      <xdr:row>209</xdr:row>
      <xdr:rowOff>450850</xdr:rowOff>
    </xdr:to>
    <xdr:pic>
      <xdr:nvPicPr>
        <xdr:cNvPr id="29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212</xdr:row>
      <xdr:rowOff>228600</xdr:rowOff>
    </xdr:from>
    <xdr:to>
      <xdr:col>3</xdr:col>
      <xdr:colOff>260350</xdr:colOff>
      <xdr:row>212</xdr:row>
      <xdr:rowOff>447675</xdr:rowOff>
    </xdr:to>
    <xdr:pic>
      <xdr:nvPicPr>
        <xdr:cNvPr id="2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212</xdr:row>
      <xdr:rowOff>231775</xdr:rowOff>
    </xdr:from>
    <xdr:to>
      <xdr:col>3</xdr:col>
      <xdr:colOff>539750</xdr:colOff>
      <xdr:row>212</xdr:row>
      <xdr:rowOff>450850</xdr:rowOff>
    </xdr:to>
    <xdr:pic>
      <xdr:nvPicPr>
        <xdr:cNvPr id="30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215</xdr:row>
      <xdr:rowOff>228600</xdr:rowOff>
    </xdr:from>
    <xdr:to>
      <xdr:col>3</xdr:col>
      <xdr:colOff>260350</xdr:colOff>
      <xdr:row>215</xdr:row>
      <xdr:rowOff>447675</xdr:rowOff>
    </xdr:to>
    <xdr:pic>
      <xdr:nvPicPr>
        <xdr:cNvPr id="30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215</xdr:row>
      <xdr:rowOff>231775</xdr:rowOff>
    </xdr:from>
    <xdr:to>
      <xdr:col>3</xdr:col>
      <xdr:colOff>539750</xdr:colOff>
      <xdr:row>215</xdr:row>
      <xdr:rowOff>450850</xdr:rowOff>
    </xdr:to>
    <xdr:pic>
      <xdr:nvPicPr>
        <xdr:cNvPr id="30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219</xdr:row>
      <xdr:rowOff>228600</xdr:rowOff>
    </xdr:from>
    <xdr:to>
      <xdr:col>3</xdr:col>
      <xdr:colOff>260350</xdr:colOff>
      <xdr:row>219</xdr:row>
      <xdr:rowOff>447675</xdr:rowOff>
    </xdr:to>
    <xdr:pic>
      <xdr:nvPicPr>
        <xdr:cNvPr id="30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219</xdr:row>
      <xdr:rowOff>231775</xdr:rowOff>
    </xdr:from>
    <xdr:to>
      <xdr:col>3</xdr:col>
      <xdr:colOff>539750</xdr:colOff>
      <xdr:row>219</xdr:row>
      <xdr:rowOff>450850</xdr:rowOff>
    </xdr:to>
    <xdr:pic>
      <xdr:nvPicPr>
        <xdr:cNvPr id="30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223</xdr:row>
      <xdr:rowOff>228600</xdr:rowOff>
    </xdr:from>
    <xdr:to>
      <xdr:col>3</xdr:col>
      <xdr:colOff>260350</xdr:colOff>
      <xdr:row>223</xdr:row>
      <xdr:rowOff>447675</xdr:rowOff>
    </xdr:to>
    <xdr:pic>
      <xdr:nvPicPr>
        <xdr:cNvPr id="30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223</xdr:row>
      <xdr:rowOff>231775</xdr:rowOff>
    </xdr:from>
    <xdr:to>
      <xdr:col>3</xdr:col>
      <xdr:colOff>539750</xdr:colOff>
      <xdr:row>223</xdr:row>
      <xdr:rowOff>450850</xdr:rowOff>
    </xdr:to>
    <xdr:pic>
      <xdr:nvPicPr>
        <xdr:cNvPr id="30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227</xdr:row>
      <xdr:rowOff>228600</xdr:rowOff>
    </xdr:from>
    <xdr:to>
      <xdr:col>3</xdr:col>
      <xdr:colOff>260350</xdr:colOff>
      <xdr:row>227</xdr:row>
      <xdr:rowOff>447675</xdr:rowOff>
    </xdr:to>
    <xdr:pic>
      <xdr:nvPicPr>
        <xdr:cNvPr id="30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227</xdr:row>
      <xdr:rowOff>231775</xdr:rowOff>
    </xdr:from>
    <xdr:to>
      <xdr:col>3</xdr:col>
      <xdr:colOff>539750</xdr:colOff>
      <xdr:row>227</xdr:row>
      <xdr:rowOff>450850</xdr:rowOff>
    </xdr:to>
    <xdr:pic>
      <xdr:nvPicPr>
        <xdr:cNvPr id="3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231</xdr:row>
      <xdr:rowOff>228600</xdr:rowOff>
    </xdr:from>
    <xdr:to>
      <xdr:col>3</xdr:col>
      <xdr:colOff>260350</xdr:colOff>
      <xdr:row>231</xdr:row>
      <xdr:rowOff>447675</xdr:rowOff>
    </xdr:to>
    <xdr:pic>
      <xdr:nvPicPr>
        <xdr:cNvPr id="30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231</xdr:row>
      <xdr:rowOff>231775</xdr:rowOff>
    </xdr:from>
    <xdr:to>
      <xdr:col>3</xdr:col>
      <xdr:colOff>539750</xdr:colOff>
      <xdr:row>231</xdr:row>
      <xdr:rowOff>450850</xdr:rowOff>
    </xdr:to>
    <xdr:pic>
      <xdr:nvPicPr>
        <xdr:cNvPr id="31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234</xdr:row>
      <xdr:rowOff>228600</xdr:rowOff>
    </xdr:from>
    <xdr:to>
      <xdr:col>3</xdr:col>
      <xdr:colOff>260350</xdr:colOff>
      <xdr:row>234</xdr:row>
      <xdr:rowOff>447675</xdr:rowOff>
    </xdr:to>
    <xdr:pic>
      <xdr:nvPicPr>
        <xdr:cNvPr id="3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234</xdr:row>
      <xdr:rowOff>231775</xdr:rowOff>
    </xdr:from>
    <xdr:to>
      <xdr:col>3</xdr:col>
      <xdr:colOff>539750</xdr:colOff>
      <xdr:row>234</xdr:row>
      <xdr:rowOff>450850</xdr:rowOff>
    </xdr:to>
    <xdr:pic>
      <xdr:nvPicPr>
        <xdr:cNvPr id="3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237</xdr:row>
      <xdr:rowOff>228600</xdr:rowOff>
    </xdr:from>
    <xdr:to>
      <xdr:col>3</xdr:col>
      <xdr:colOff>260350</xdr:colOff>
      <xdr:row>237</xdr:row>
      <xdr:rowOff>447675</xdr:rowOff>
    </xdr:to>
    <xdr:pic>
      <xdr:nvPicPr>
        <xdr:cNvPr id="31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237</xdr:row>
      <xdr:rowOff>231775</xdr:rowOff>
    </xdr:from>
    <xdr:to>
      <xdr:col>3</xdr:col>
      <xdr:colOff>539750</xdr:colOff>
      <xdr:row>237</xdr:row>
      <xdr:rowOff>450850</xdr:rowOff>
    </xdr:to>
    <xdr:pic>
      <xdr:nvPicPr>
        <xdr:cNvPr id="3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241</xdr:row>
      <xdr:rowOff>228600</xdr:rowOff>
    </xdr:from>
    <xdr:to>
      <xdr:col>3</xdr:col>
      <xdr:colOff>260350</xdr:colOff>
      <xdr:row>241</xdr:row>
      <xdr:rowOff>447675</xdr:rowOff>
    </xdr:to>
    <xdr:pic>
      <xdr:nvPicPr>
        <xdr:cNvPr id="31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241</xdr:row>
      <xdr:rowOff>231775</xdr:rowOff>
    </xdr:from>
    <xdr:to>
      <xdr:col>3</xdr:col>
      <xdr:colOff>539750</xdr:colOff>
      <xdr:row>241</xdr:row>
      <xdr:rowOff>450850</xdr:rowOff>
    </xdr:to>
    <xdr:pic>
      <xdr:nvPicPr>
        <xdr:cNvPr id="31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245</xdr:row>
      <xdr:rowOff>228600</xdr:rowOff>
    </xdr:from>
    <xdr:to>
      <xdr:col>3</xdr:col>
      <xdr:colOff>260350</xdr:colOff>
      <xdr:row>245</xdr:row>
      <xdr:rowOff>447675</xdr:rowOff>
    </xdr:to>
    <xdr:pic>
      <xdr:nvPicPr>
        <xdr:cNvPr id="31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245</xdr:row>
      <xdr:rowOff>231775</xdr:rowOff>
    </xdr:from>
    <xdr:to>
      <xdr:col>3</xdr:col>
      <xdr:colOff>539750</xdr:colOff>
      <xdr:row>245</xdr:row>
      <xdr:rowOff>450850</xdr:rowOff>
    </xdr:to>
    <xdr:pic>
      <xdr:nvPicPr>
        <xdr:cNvPr id="31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249</xdr:row>
      <xdr:rowOff>228600</xdr:rowOff>
    </xdr:from>
    <xdr:to>
      <xdr:col>3</xdr:col>
      <xdr:colOff>260350</xdr:colOff>
      <xdr:row>249</xdr:row>
      <xdr:rowOff>447675</xdr:rowOff>
    </xdr:to>
    <xdr:pic>
      <xdr:nvPicPr>
        <xdr:cNvPr id="31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249</xdr:row>
      <xdr:rowOff>231775</xdr:rowOff>
    </xdr:from>
    <xdr:to>
      <xdr:col>3</xdr:col>
      <xdr:colOff>539750</xdr:colOff>
      <xdr:row>249</xdr:row>
      <xdr:rowOff>450850</xdr:rowOff>
    </xdr:to>
    <xdr:pic>
      <xdr:nvPicPr>
        <xdr:cNvPr id="3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253</xdr:row>
      <xdr:rowOff>228600</xdr:rowOff>
    </xdr:from>
    <xdr:to>
      <xdr:col>3</xdr:col>
      <xdr:colOff>260350</xdr:colOff>
      <xdr:row>253</xdr:row>
      <xdr:rowOff>447675</xdr:rowOff>
    </xdr:to>
    <xdr:pic>
      <xdr:nvPicPr>
        <xdr:cNvPr id="32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253</xdr:row>
      <xdr:rowOff>231775</xdr:rowOff>
    </xdr:from>
    <xdr:to>
      <xdr:col>3</xdr:col>
      <xdr:colOff>539750</xdr:colOff>
      <xdr:row>253</xdr:row>
      <xdr:rowOff>450850</xdr:rowOff>
    </xdr:to>
    <xdr:pic>
      <xdr:nvPicPr>
        <xdr:cNvPr id="32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254</xdr:row>
      <xdr:rowOff>0</xdr:rowOff>
    </xdr:from>
    <xdr:to>
      <xdr:col>3</xdr:col>
      <xdr:colOff>539750</xdr:colOff>
      <xdr:row>254</xdr:row>
      <xdr:rowOff>0</xdr:rowOff>
    </xdr:to>
    <xdr:pic>
      <xdr:nvPicPr>
        <xdr:cNvPr id="3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256</xdr:row>
      <xdr:rowOff>228600</xdr:rowOff>
    </xdr:from>
    <xdr:to>
      <xdr:col>3</xdr:col>
      <xdr:colOff>260350</xdr:colOff>
      <xdr:row>256</xdr:row>
      <xdr:rowOff>447675</xdr:rowOff>
    </xdr:to>
    <xdr:pic>
      <xdr:nvPicPr>
        <xdr:cNvPr id="3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256</xdr:row>
      <xdr:rowOff>231775</xdr:rowOff>
    </xdr:from>
    <xdr:to>
      <xdr:col>3</xdr:col>
      <xdr:colOff>539750</xdr:colOff>
      <xdr:row>256</xdr:row>
      <xdr:rowOff>450850</xdr:rowOff>
    </xdr:to>
    <xdr:pic>
      <xdr:nvPicPr>
        <xdr:cNvPr id="3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259</xdr:row>
      <xdr:rowOff>228600</xdr:rowOff>
    </xdr:from>
    <xdr:to>
      <xdr:col>3</xdr:col>
      <xdr:colOff>260350</xdr:colOff>
      <xdr:row>259</xdr:row>
      <xdr:rowOff>447675</xdr:rowOff>
    </xdr:to>
    <xdr:pic>
      <xdr:nvPicPr>
        <xdr:cNvPr id="32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259</xdr:row>
      <xdr:rowOff>231775</xdr:rowOff>
    </xdr:from>
    <xdr:to>
      <xdr:col>3</xdr:col>
      <xdr:colOff>539750</xdr:colOff>
      <xdr:row>259</xdr:row>
      <xdr:rowOff>450850</xdr:rowOff>
    </xdr:to>
    <xdr:pic>
      <xdr:nvPicPr>
        <xdr:cNvPr id="3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263</xdr:row>
      <xdr:rowOff>228600</xdr:rowOff>
    </xdr:from>
    <xdr:to>
      <xdr:col>3</xdr:col>
      <xdr:colOff>260350</xdr:colOff>
      <xdr:row>263</xdr:row>
      <xdr:rowOff>447675</xdr:rowOff>
    </xdr:to>
    <xdr:pic>
      <xdr:nvPicPr>
        <xdr:cNvPr id="3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263</xdr:row>
      <xdr:rowOff>231775</xdr:rowOff>
    </xdr:from>
    <xdr:to>
      <xdr:col>3</xdr:col>
      <xdr:colOff>539750</xdr:colOff>
      <xdr:row>263</xdr:row>
      <xdr:rowOff>450850</xdr:rowOff>
    </xdr:to>
    <xdr:pic>
      <xdr:nvPicPr>
        <xdr:cNvPr id="3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267</xdr:row>
      <xdr:rowOff>228600</xdr:rowOff>
    </xdr:from>
    <xdr:to>
      <xdr:col>3</xdr:col>
      <xdr:colOff>260350</xdr:colOff>
      <xdr:row>267</xdr:row>
      <xdr:rowOff>447675</xdr:rowOff>
    </xdr:to>
    <xdr:pic>
      <xdr:nvPicPr>
        <xdr:cNvPr id="3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267</xdr:row>
      <xdr:rowOff>231775</xdr:rowOff>
    </xdr:from>
    <xdr:to>
      <xdr:col>3</xdr:col>
      <xdr:colOff>539750</xdr:colOff>
      <xdr:row>267</xdr:row>
      <xdr:rowOff>450850</xdr:rowOff>
    </xdr:to>
    <xdr:pic>
      <xdr:nvPicPr>
        <xdr:cNvPr id="3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271</xdr:row>
      <xdr:rowOff>228600</xdr:rowOff>
    </xdr:from>
    <xdr:to>
      <xdr:col>3</xdr:col>
      <xdr:colOff>260350</xdr:colOff>
      <xdr:row>271</xdr:row>
      <xdr:rowOff>447675</xdr:rowOff>
    </xdr:to>
    <xdr:pic>
      <xdr:nvPicPr>
        <xdr:cNvPr id="33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271</xdr:row>
      <xdr:rowOff>231775</xdr:rowOff>
    </xdr:from>
    <xdr:to>
      <xdr:col>3</xdr:col>
      <xdr:colOff>539750</xdr:colOff>
      <xdr:row>271</xdr:row>
      <xdr:rowOff>450850</xdr:rowOff>
    </xdr:to>
    <xdr:pic>
      <xdr:nvPicPr>
        <xdr:cNvPr id="3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275</xdr:row>
      <xdr:rowOff>228600</xdr:rowOff>
    </xdr:from>
    <xdr:to>
      <xdr:col>3</xdr:col>
      <xdr:colOff>260350</xdr:colOff>
      <xdr:row>275</xdr:row>
      <xdr:rowOff>447675</xdr:rowOff>
    </xdr:to>
    <xdr:pic>
      <xdr:nvPicPr>
        <xdr:cNvPr id="3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275</xdr:row>
      <xdr:rowOff>231775</xdr:rowOff>
    </xdr:from>
    <xdr:to>
      <xdr:col>3</xdr:col>
      <xdr:colOff>539750</xdr:colOff>
      <xdr:row>275</xdr:row>
      <xdr:rowOff>450850</xdr:rowOff>
    </xdr:to>
    <xdr:pic>
      <xdr:nvPicPr>
        <xdr:cNvPr id="33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278</xdr:row>
      <xdr:rowOff>228600</xdr:rowOff>
    </xdr:from>
    <xdr:to>
      <xdr:col>3</xdr:col>
      <xdr:colOff>260350</xdr:colOff>
      <xdr:row>278</xdr:row>
      <xdr:rowOff>447675</xdr:rowOff>
    </xdr:to>
    <xdr:pic>
      <xdr:nvPicPr>
        <xdr:cNvPr id="33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278</xdr:row>
      <xdr:rowOff>231775</xdr:rowOff>
    </xdr:from>
    <xdr:to>
      <xdr:col>3</xdr:col>
      <xdr:colOff>539750</xdr:colOff>
      <xdr:row>278</xdr:row>
      <xdr:rowOff>450850</xdr:rowOff>
    </xdr:to>
    <xdr:pic>
      <xdr:nvPicPr>
        <xdr:cNvPr id="33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282</xdr:row>
      <xdr:rowOff>228600</xdr:rowOff>
    </xdr:from>
    <xdr:to>
      <xdr:col>3</xdr:col>
      <xdr:colOff>260350</xdr:colOff>
      <xdr:row>282</xdr:row>
      <xdr:rowOff>447675</xdr:rowOff>
    </xdr:to>
    <xdr:pic>
      <xdr:nvPicPr>
        <xdr:cNvPr id="3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282</xdr:row>
      <xdr:rowOff>231775</xdr:rowOff>
    </xdr:from>
    <xdr:to>
      <xdr:col>3</xdr:col>
      <xdr:colOff>539750</xdr:colOff>
      <xdr:row>282</xdr:row>
      <xdr:rowOff>450850</xdr:rowOff>
    </xdr:to>
    <xdr:pic>
      <xdr:nvPicPr>
        <xdr:cNvPr id="33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286</xdr:row>
      <xdr:rowOff>228600</xdr:rowOff>
    </xdr:from>
    <xdr:to>
      <xdr:col>3</xdr:col>
      <xdr:colOff>260350</xdr:colOff>
      <xdr:row>286</xdr:row>
      <xdr:rowOff>447675</xdr:rowOff>
    </xdr:to>
    <xdr:pic>
      <xdr:nvPicPr>
        <xdr:cNvPr id="34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286</xdr:row>
      <xdr:rowOff>231775</xdr:rowOff>
    </xdr:from>
    <xdr:to>
      <xdr:col>3</xdr:col>
      <xdr:colOff>539750</xdr:colOff>
      <xdr:row>286</xdr:row>
      <xdr:rowOff>450850</xdr:rowOff>
    </xdr:to>
    <xdr:pic>
      <xdr:nvPicPr>
        <xdr:cNvPr id="34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290</xdr:row>
      <xdr:rowOff>228600</xdr:rowOff>
    </xdr:from>
    <xdr:to>
      <xdr:col>3</xdr:col>
      <xdr:colOff>260350</xdr:colOff>
      <xdr:row>290</xdr:row>
      <xdr:rowOff>447675</xdr:rowOff>
    </xdr:to>
    <xdr:pic>
      <xdr:nvPicPr>
        <xdr:cNvPr id="34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290</xdr:row>
      <xdr:rowOff>231775</xdr:rowOff>
    </xdr:from>
    <xdr:to>
      <xdr:col>3</xdr:col>
      <xdr:colOff>539750</xdr:colOff>
      <xdr:row>290</xdr:row>
      <xdr:rowOff>450850</xdr:rowOff>
    </xdr:to>
    <xdr:pic>
      <xdr:nvPicPr>
        <xdr:cNvPr id="34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294</xdr:row>
      <xdr:rowOff>228600</xdr:rowOff>
    </xdr:from>
    <xdr:to>
      <xdr:col>3</xdr:col>
      <xdr:colOff>260350</xdr:colOff>
      <xdr:row>294</xdr:row>
      <xdr:rowOff>447675</xdr:rowOff>
    </xdr:to>
    <xdr:pic>
      <xdr:nvPicPr>
        <xdr:cNvPr id="34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294</xdr:row>
      <xdr:rowOff>231775</xdr:rowOff>
    </xdr:from>
    <xdr:to>
      <xdr:col>3</xdr:col>
      <xdr:colOff>539750</xdr:colOff>
      <xdr:row>294</xdr:row>
      <xdr:rowOff>450850</xdr:rowOff>
    </xdr:to>
    <xdr:pic>
      <xdr:nvPicPr>
        <xdr:cNvPr id="34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298</xdr:row>
      <xdr:rowOff>228600</xdr:rowOff>
    </xdr:from>
    <xdr:to>
      <xdr:col>3</xdr:col>
      <xdr:colOff>260350</xdr:colOff>
      <xdr:row>298</xdr:row>
      <xdr:rowOff>447675</xdr:rowOff>
    </xdr:to>
    <xdr:pic>
      <xdr:nvPicPr>
        <xdr:cNvPr id="34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298</xdr:row>
      <xdr:rowOff>231775</xdr:rowOff>
    </xdr:from>
    <xdr:to>
      <xdr:col>3</xdr:col>
      <xdr:colOff>539750</xdr:colOff>
      <xdr:row>298</xdr:row>
      <xdr:rowOff>450850</xdr:rowOff>
    </xdr:to>
    <xdr:pic>
      <xdr:nvPicPr>
        <xdr:cNvPr id="34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302</xdr:row>
      <xdr:rowOff>228600</xdr:rowOff>
    </xdr:from>
    <xdr:to>
      <xdr:col>3</xdr:col>
      <xdr:colOff>260350</xdr:colOff>
      <xdr:row>302</xdr:row>
      <xdr:rowOff>447675</xdr:rowOff>
    </xdr:to>
    <xdr:pic>
      <xdr:nvPicPr>
        <xdr:cNvPr id="34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302</xdr:row>
      <xdr:rowOff>231775</xdr:rowOff>
    </xdr:from>
    <xdr:to>
      <xdr:col>3</xdr:col>
      <xdr:colOff>539750</xdr:colOff>
      <xdr:row>302</xdr:row>
      <xdr:rowOff>450850</xdr:rowOff>
    </xdr:to>
    <xdr:pic>
      <xdr:nvPicPr>
        <xdr:cNvPr id="34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306</xdr:row>
      <xdr:rowOff>228600</xdr:rowOff>
    </xdr:from>
    <xdr:to>
      <xdr:col>3</xdr:col>
      <xdr:colOff>260350</xdr:colOff>
      <xdr:row>306</xdr:row>
      <xdr:rowOff>447675</xdr:rowOff>
    </xdr:to>
    <xdr:pic>
      <xdr:nvPicPr>
        <xdr:cNvPr id="35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306</xdr:row>
      <xdr:rowOff>231775</xdr:rowOff>
    </xdr:from>
    <xdr:to>
      <xdr:col>3</xdr:col>
      <xdr:colOff>539750</xdr:colOff>
      <xdr:row>306</xdr:row>
      <xdr:rowOff>450850</xdr:rowOff>
    </xdr:to>
    <xdr:pic>
      <xdr:nvPicPr>
        <xdr:cNvPr id="35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310</xdr:row>
      <xdr:rowOff>228600</xdr:rowOff>
    </xdr:from>
    <xdr:to>
      <xdr:col>3</xdr:col>
      <xdr:colOff>260350</xdr:colOff>
      <xdr:row>310</xdr:row>
      <xdr:rowOff>447675</xdr:rowOff>
    </xdr:to>
    <xdr:pic>
      <xdr:nvPicPr>
        <xdr:cNvPr id="35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310</xdr:row>
      <xdr:rowOff>231775</xdr:rowOff>
    </xdr:from>
    <xdr:to>
      <xdr:col>3</xdr:col>
      <xdr:colOff>539750</xdr:colOff>
      <xdr:row>310</xdr:row>
      <xdr:rowOff>450850</xdr:rowOff>
    </xdr:to>
    <xdr:pic>
      <xdr:nvPicPr>
        <xdr:cNvPr id="35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314</xdr:row>
      <xdr:rowOff>228600</xdr:rowOff>
    </xdr:from>
    <xdr:to>
      <xdr:col>3</xdr:col>
      <xdr:colOff>260350</xdr:colOff>
      <xdr:row>314</xdr:row>
      <xdr:rowOff>447675</xdr:rowOff>
    </xdr:to>
    <xdr:pic>
      <xdr:nvPicPr>
        <xdr:cNvPr id="35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314</xdr:row>
      <xdr:rowOff>231775</xdr:rowOff>
    </xdr:from>
    <xdr:to>
      <xdr:col>3</xdr:col>
      <xdr:colOff>539750</xdr:colOff>
      <xdr:row>314</xdr:row>
      <xdr:rowOff>450850</xdr:rowOff>
    </xdr:to>
    <xdr:pic>
      <xdr:nvPicPr>
        <xdr:cNvPr id="35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318</xdr:row>
      <xdr:rowOff>228600</xdr:rowOff>
    </xdr:from>
    <xdr:to>
      <xdr:col>3</xdr:col>
      <xdr:colOff>260350</xdr:colOff>
      <xdr:row>318</xdr:row>
      <xdr:rowOff>447675</xdr:rowOff>
    </xdr:to>
    <xdr:pic>
      <xdr:nvPicPr>
        <xdr:cNvPr id="35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318</xdr:row>
      <xdr:rowOff>231775</xdr:rowOff>
    </xdr:from>
    <xdr:to>
      <xdr:col>3</xdr:col>
      <xdr:colOff>539750</xdr:colOff>
      <xdr:row>318</xdr:row>
      <xdr:rowOff>450850</xdr:rowOff>
    </xdr:to>
    <xdr:pic>
      <xdr:nvPicPr>
        <xdr:cNvPr id="35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321</xdr:row>
      <xdr:rowOff>228600</xdr:rowOff>
    </xdr:from>
    <xdr:to>
      <xdr:col>3</xdr:col>
      <xdr:colOff>260350</xdr:colOff>
      <xdr:row>321</xdr:row>
      <xdr:rowOff>447675</xdr:rowOff>
    </xdr:to>
    <xdr:pic>
      <xdr:nvPicPr>
        <xdr:cNvPr id="35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321</xdr:row>
      <xdr:rowOff>231775</xdr:rowOff>
    </xdr:from>
    <xdr:to>
      <xdr:col>3</xdr:col>
      <xdr:colOff>539750</xdr:colOff>
      <xdr:row>321</xdr:row>
      <xdr:rowOff>450850</xdr:rowOff>
    </xdr:to>
    <xdr:pic>
      <xdr:nvPicPr>
        <xdr:cNvPr id="3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324</xdr:row>
      <xdr:rowOff>228600</xdr:rowOff>
    </xdr:from>
    <xdr:to>
      <xdr:col>3</xdr:col>
      <xdr:colOff>260350</xdr:colOff>
      <xdr:row>324</xdr:row>
      <xdr:rowOff>447675</xdr:rowOff>
    </xdr:to>
    <xdr:pic>
      <xdr:nvPicPr>
        <xdr:cNvPr id="3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324</xdr:row>
      <xdr:rowOff>231775</xdr:rowOff>
    </xdr:from>
    <xdr:to>
      <xdr:col>3</xdr:col>
      <xdr:colOff>539750</xdr:colOff>
      <xdr:row>324</xdr:row>
      <xdr:rowOff>450850</xdr:rowOff>
    </xdr:to>
    <xdr:pic>
      <xdr:nvPicPr>
        <xdr:cNvPr id="36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327</xdr:row>
      <xdr:rowOff>228600</xdr:rowOff>
    </xdr:from>
    <xdr:to>
      <xdr:col>3</xdr:col>
      <xdr:colOff>260350</xdr:colOff>
      <xdr:row>327</xdr:row>
      <xdr:rowOff>447675</xdr:rowOff>
    </xdr:to>
    <xdr:pic>
      <xdr:nvPicPr>
        <xdr:cNvPr id="36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327</xdr:row>
      <xdr:rowOff>231775</xdr:rowOff>
    </xdr:from>
    <xdr:to>
      <xdr:col>3</xdr:col>
      <xdr:colOff>539750</xdr:colOff>
      <xdr:row>327</xdr:row>
      <xdr:rowOff>450850</xdr:rowOff>
    </xdr:to>
    <xdr:pic>
      <xdr:nvPicPr>
        <xdr:cNvPr id="36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332</xdr:row>
      <xdr:rowOff>228600</xdr:rowOff>
    </xdr:from>
    <xdr:to>
      <xdr:col>3</xdr:col>
      <xdr:colOff>260350</xdr:colOff>
      <xdr:row>332</xdr:row>
      <xdr:rowOff>447675</xdr:rowOff>
    </xdr:to>
    <xdr:pic>
      <xdr:nvPicPr>
        <xdr:cNvPr id="36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332</xdr:row>
      <xdr:rowOff>231775</xdr:rowOff>
    </xdr:from>
    <xdr:to>
      <xdr:col>3</xdr:col>
      <xdr:colOff>539750</xdr:colOff>
      <xdr:row>332</xdr:row>
      <xdr:rowOff>450850</xdr:rowOff>
    </xdr:to>
    <xdr:pic>
      <xdr:nvPicPr>
        <xdr:cNvPr id="36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336</xdr:row>
      <xdr:rowOff>228600</xdr:rowOff>
    </xdr:from>
    <xdr:to>
      <xdr:col>3</xdr:col>
      <xdr:colOff>260350</xdr:colOff>
      <xdr:row>336</xdr:row>
      <xdr:rowOff>447675</xdr:rowOff>
    </xdr:to>
    <xdr:pic>
      <xdr:nvPicPr>
        <xdr:cNvPr id="36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336</xdr:row>
      <xdr:rowOff>231775</xdr:rowOff>
    </xdr:from>
    <xdr:to>
      <xdr:col>3</xdr:col>
      <xdr:colOff>539750</xdr:colOff>
      <xdr:row>336</xdr:row>
      <xdr:rowOff>450850</xdr:rowOff>
    </xdr:to>
    <xdr:pic>
      <xdr:nvPicPr>
        <xdr:cNvPr id="36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339</xdr:row>
      <xdr:rowOff>228600</xdr:rowOff>
    </xdr:from>
    <xdr:to>
      <xdr:col>3</xdr:col>
      <xdr:colOff>260350</xdr:colOff>
      <xdr:row>339</xdr:row>
      <xdr:rowOff>447675</xdr:rowOff>
    </xdr:to>
    <xdr:pic>
      <xdr:nvPicPr>
        <xdr:cNvPr id="36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339</xdr:row>
      <xdr:rowOff>231775</xdr:rowOff>
    </xdr:from>
    <xdr:to>
      <xdr:col>3</xdr:col>
      <xdr:colOff>539750</xdr:colOff>
      <xdr:row>339</xdr:row>
      <xdr:rowOff>450850</xdr:rowOff>
    </xdr:to>
    <xdr:pic>
      <xdr:nvPicPr>
        <xdr:cNvPr id="36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343</xdr:row>
      <xdr:rowOff>228600</xdr:rowOff>
    </xdr:from>
    <xdr:to>
      <xdr:col>3</xdr:col>
      <xdr:colOff>260350</xdr:colOff>
      <xdr:row>343</xdr:row>
      <xdr:rowOff>447675</xdr:rowOff>
    </xdr:to>
    <xdr:pic>
      <xdr:nvPicPr>
        <xdr:cNvPr id="37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343</xdr:row>
      <xdr:rowOff>231775</xdr:rowOff>
    </xdr:from>
    <xdr:to>
      <xdr:col>3</xdr:col>
      <xdr:colOff>539750</xdr:colOff>
      <xdr:row>343</xdr:row>
      <xdr:rowOff>450850</xdr:rowOff>
    </xdr:to>
    <xdr:pic>
      <xdr:nvPicPr>
        <xdr:cNvPr id="37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346</xdr:row>
      <xdr:rowOff>228600</xdr:rowOff>
    </xdr:from>
    <xdr:to>
      <xdr:col>3</xdr:col>
      <xdr:colOff>260350</xdr:colOff>
      <xdr:row>346</xdr:row>
      <xdr:rowOff>447675</xdr:rowOff>
    </xdr:to>
    <xdr:pic>
      <xdr:nvPicPr>
        <xdr:cNvPr id="37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346</xdr:row>
      <xdr:rowOff>231775</xdr:rowOff>
    </xdr:from>
    <xdr:to>
      <xdr:col>3</xdr:col>
      <xdr:colOff>539750</xdr:colOff>
      <xdr:row>346</xdr:row>
      <xdr:rowOff>450850</xdr:rowOff>
    </xdr:to>
    <xdr:pic>
      <xdr:nvPicPr>
        <xdr:cNvPr id="37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351</xdr:row>
      <xdr:rowOff>228600</xdr:rowOff>
    </xdr:from>
    <xdr:to>
      <xdr:col>3</xdr:col>
      <xdr:colOff>260350</xdr:colOff>
      <xdr:row>351</xdr:row>
      <xdr:rowOff>447675</xdr:rowOff>
    </xdr:to>
    <xdr:pic>
      <xdr:nvPicPr>
        <xdr:cNvPr id="37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351</xdr:row>
      <xdr:rowOff>231775</xdr:rowOff>
    </xdr:from>
    <xdr:to>
      <xdr:col>3</xdr:col>
      <xdr:colOff>539750</xdr:colOff>
      <xdr:row>351</xdr:row>
      <xdr:rowOff>450850</xdr:rowOff>
    </xdr:to>
    <xdr:pic>
      <xdr:nvPicPr>
        <xdr:cNvPr id="37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355</xdr:row>
      <xdr:rowOff>228600</xdr:rowOff>
    </xdr:from>
    <xdr:to>
      <xdr:col>3</xdr:col>
      <xdr:colOff>260350</xdr:colOff>
      <xdr:row>355</xdr:row>
      <xdr:rowOff>447675</xdr:rowOff>
    </xdr:to>
    <xdr:pic>
      <xdr:nvPicPr>
        <xdr:cNvPr id="37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355</xdr:row>
      <xdr:rowOff>231775</xdr:rowOff>
    </xdr:from>
    <xdr:to>
      <xdr:col>3</xdr:col>
      <xdr:colOff>539750</xdr:colOff>
      <xdr:row>355</xdr:row>
      <xdr:rowOff>450850</xdr:rowOff>
    </xdr:to>
    <xdr:pic>
      <xdr:nvPicPr>
        <xdr:cNvPr id="37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360</xdr:row>
      <xdr:rowOff>228600</xdr:rowOff>
    </xdr:from>
    <xdr:to>
      <xdr:col>3</xdr:col>
      <xdr:colOff>260350</xdr:colOff>
      <xdr:row>360</xdr:row>
      <xdr:rowOff>447675</xdr:rowOff>
    </xdr:to>
    <xdr:pic>
      <xdr:nvPicPr>
        <xdr:cNvPr id="37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360</xdr:row>
      <xdr:rowOff>231775</xdr:rowOff>
    </xdr:from>
    <xdr:to>
      <xdr:col>3</xdr:col>
      <xdr:colOff>539750</xdr:colOff>
      <xdr:row>360</xdr:row>
      <xdr:rowOff>450850</xdr:rowOff>
    </xdr:to>
    <xdr:pic>
      <xdr:nvPicPr>
        <xdr:cNvPr id="37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364</xdr:row>
      <xdr:rowOff>228600</xdr:rowOff>
    </xdr:from>
    <xdr:to>
      <xdr:col>3</xdr:col>
      <xdr:colOff>260350</xdr:colOff>
      <xdr:row>364</xdr:row>
      <xdr:rowOff>447675</xdr:rowOff>
    </xdr:to>
    <xdr:pic>
      <xdr:nvPicPr>
        <xdr:cNvPr id="38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364</xdr:row>
      <xdr:rowOff>231775</xdr:rowOff>
    </xdr:from>
    <xdr:to>
      <xdr:col>3</xdr:col>
      <xdr:colOff>539750</xdr:colOff>
      <xdr:row>364</xdr:row>
      <xdr:rowOff>450850</xdr:rowOff>
    </xdr:to>
    <xdr:pic>
      <xdr:nvPicPr>
        <xdr:cNvPr id="38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368</xdr:row>
      <xdr:rowOff>228600</xdr:rowOff>
    </xdr:from>
    <xdr:to>
      <xdr:col>3</xdr:col>
      <xdr:colOff>260350</xdr:colOff>
      <xdr:row>368</xdr:row>
      <xdr:rowOff>447675</xdr:rowOff>
    </xdr:to>
    <xdr:pic>
      <xdr:nvPicPr>
        <xdr:cNvPr id="38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368</xdr:row>
      <xdr:rowOff>231775</xdr:rowOff>
    </xdr:from>
    <xdr:to>
      <xdr:col>3</xdr:col>
      <xdr:colOff>539750</xdr:colOff>
      <xdr:row>368</xdr:row>
      <xdr:rowOff>450850</xdr:rowOff>
    </xdr:to>
    <xdr:pic>
      <xdr:nvPicPr>
        <xdr:cNvPr id="38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371</xdr:row>
      <xdr:rowOff>228600</xdr:rowOff>
    </xdr:from>
    <xdr:to>
      <xdr:col>3</xdr:col>
      <xdr:colOff>260350</xdr:colOff>
      <xdr:row>371</xdr:row>
      <xdr:rowOff>447675</xdr:rowOff>
    </xdr:to>
    <xdr:pic>
      <xdr:nvPicPr>
        <xdr:cNvPr id="38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371</xdr:row>
      <xdr:rowOff>231775</xdr:rowOff>
    </xdr:from>
    <xdr:to>
      <xdr:col>3</xdr:col>
      <xdr:colOff>539750</xdr:colOff>
      <xdr:row>371</xdr:row>
      <xdr:rowOff>450850</xdr:rowOff>
    </xdr:to>
    <xdr:pic>
      <xdr:nvPicPr>
        <xdr:cNvPr id="38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376</xdr:row>
      <xdr:rowOff>228600</xdr:rowOff>
    </xdr:from>
    <xdr:to>
      <xdr:col>3</xdr:col>
      <xdr:colOff>260350</xdr:colOff>
      <xdr:row>376</xdr:row>
      <xdr:rowOff>447675</xdr:rowOff>
    </xdr:to>
    <xdr:pic>
      <xdr:nvPicPr>
        <xdr:cNvPr id="3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376</xdr:row>
      <xdr:rowOff>231775</xdr:rowOff>
    </xdr:from>
    <xdr:to>
      <xdr:col>3</xdr:col>
      <xdr:colOff>539750</xdr:colOff>
      <xdr:row>376</xdr:row>
      <xdr:rowOff>450850</xdr:rowOff>
    </xdr:to>
    <xdr:pic>
      <xdr:nvPicPr>
        <xdr:cNvPr id="38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379</xdr:row>
      <xdr:rowOff>228600</xdr:rowOff>
    </xdr:from>
    <xdr:to>
      <xdr:col>3</xdr:col>
      <xdr:colOff>260350</xdr:colOff>
      <xdr:row>379</xdr:row>
      <xdr:rowOff>447675</xdr:rowOff>
    </xdr:to>
    <xdr:pic>
      <xdr:nvPicPr>
        <xdr:cNvPr id="38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379</xdr:row>
      <xdr:rowOff>231775</xdr:rowOff>
    </xdr:from>
    <xdr:to>
      <xdr:col>3</xdr:col>
      <xdr:colOff>539750</xdr:colOff>
      <xdr:row>379</xdr:row>
      <xdr:rowOff>450850</xdr:rowOff>
    </xdr:to>
    <xdr:pic>
      <xdr:nvPicPr>
        <xdr:cNvPr id="38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384</xdr:row>
      <xdr:rowOff>228600</xdr:rowOff>
    </xdr:from>
    <xdr:to>
      <xdr:col>3</xdr:col>
      <xdr:colOff>260350</xdr:colOff>
      <xdr:row>384</xdr:row>
      <xdr:rowOff>447675</xdr:rowOff>
    </xdr:to>
    <xdr:pic>
      <xdr:nvPicPr>
        <xdr:cNvPr id="39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384</xdr:row>
      <xdr:rowOff>231775</xdr:rowOff>
    </xdr:from>
    <xdr:to>
      <xdr:col>3</xdr:col>
      <xdr:colOff>539750</xdr:colOff>
      <xdr:row>384</xdr:row>
      <xdr:rowOff>450850</xdr:rowOff>
    </xdr:to>
    <xdr:pic>
      <xdr:nvPicPr>
        <xdr:cNvPr id="39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388</xdr:row>
      <xdr:rowOff>228600</xdr:rowOff>
    </xdr:from>
    <xdr:to>
      <xdr:col>3</xdr:col>
      <xdr:colOff>260350</xdr:colOff>
      <xdr:row>388</xdr:row>
      <xdr:rowOff>447675</xdr:rowOff>
    </xdr:to>
    <xdr:pic>
      <xdr:nvPicPr>
        <xdr:cNvPr id="39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388</xdr:row>
      <xdr:rowOff>231775</xdr:rowOff>
    </xdr:from>
    <xdr:to>
      <xdr:col>3</xdr:col>
      <xdr:colOff>539750</xdr:colOff>
      <xdr:row>388</xdr:row>
      <xdr:rowOff>450850</xdr:rowOff>
    </xdr:to>
    <xdr:pic>
      <xdr:nvPicPr>
        <xdr:cNvPr id="39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391</xdr:row>
      <xdr:rowOff>228600</xdr:rowOff>
    </xdr:from>
    <xdr:to>
      <xdr:col>3</xdr:col>
      <xdr:colOff>260350</xdr:colOff>
      <xdr:row>391</xdr:row>
      <xdr:rowOff>447675</xdr:rowOff>
    </xdr:to>
    <xdr:pic>
      <xdr:nvPicPr>
        <xdr:cNvPr id="39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391</xdr:row>
      <xdr:rowOff>231775</xdr:rowOff>
    </xdr:from>
    <xdr:to>
      <xdr:col>3</xdr:col>
      <xdr:colOff>539750</xdr:colOff>
      <xdr:row>391</xdr:row>
      <xdr:rowOff>450850</xdr:rowOff>
    </xdr:to>
    <xdr:pic>
      <xdr:nvPicPr>
        <xdr:cNvPr id="39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396</xdr:row>
      <xdr:rowOff>228600</xdr:rowOff>
    </xdr:from>
    <xdr:to>
      <xdr:col>3</xdr:col>
      <xdr:colOff>260350</xdr:colOff>
      <xdr:row>396</xdr:row>
      <xdr:rowOff>447675</xdr:rowOff>
    </xdr:to>
    <xdr:pic>
      <xdr:nvPicPr>
        <xdr:cNvPr id="39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396</xdr:row>
      <xdr:rowOff>231775</xdr:rowOff>
    </xdr:from>
    <xdr:to>
      <xdr:col>3</xdr:col>
      <xdr:colOff>539750</xdr:colOff>
      <xdr:row>396</xdr:row>
      <xdr:rowOff>450850</xdr:rowOff>
    </xdr:to>
    <xdr:pic>
      <xdr:nvPicPr>
        <xdr:cNvPr id="39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400</xdr:row>
      <xdr:rowOff>228600</xdr:rowOff>
    </xdr:from>
    <xdr:to>
      <xdr:col>3</xdr:col>
      <xdr:colOff>260350</xdr:colOff>
      <xdr:row>400</xdr:row>
      <xdr:rowOff>447675</xdr:rowOff>
    </xdr:to>
    <xdr:pic>
      <xdr:nvPicPr>
        <xdr:cNvPr id="39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400</xdr:row>
      <xdr:rowOff>231775</xdr:rowOff>
    </xdr:from>
    <xdr:to>
      <xdr:col>3</xdr:col>
      <xdr:colOff>539750</xdr:colOff>
      <xdr:row>400</xdr:row>
      <xdr:rowOff>450850</xdr:rowOff>
    </xdr:to>
    <xdr:pic>
      <xdr:nvPicPr>
        <xdr:cNvPr id="39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404</xdr:row>
      <xdr:rowOff>228600</xdr:rowOff>
    </xdr:from>
    <xdr:to>
      <xdr:col>3</xdr:col>
      <xdr:colOff>260350</xdr:colOff>
      <xdr:row>404</xdr:row>
      <xdr:rowOff>447675</xdr:rowOff>
    </xdr:to>
    <xdr:pic>
      <xdr:nvPicPr>
        <xdr:cNvPr id="40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404</xdr:row>
      <xdr:rowOff>231775</xdr:rowOff>
    </xdr:from>
    <xdr:to>
      <xdr:col>3</xdr:col>
      <xdr:colOff>539750</xdr:colOff>
      <xdr:row>404</xdr:row>
      <xdr:rowOff>450850</xdr:rowOff>
    </xdr:to>
    <xdr:pic>
      <xdr:nvPicPr>
        <xdr:cNvPr id="40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407</xdr:row>
      <xdr:rowOff>228600</xdr:rowOff>
    </xdr:from>
    <xdr:to>
      <xdr:col>3</xdr:col>
      <xdr:colOff>260350</xdr:colOff>
      <xdr:row>407</xdr:row>
      <xdr:rowOff>447675</xdr:rowOff>
    </xdr:to>
    <xdr:pic>
      <xdr:nvPicPr>
        <xdr:cNvPr id="40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407</xdr:row>
      <xdr:rowOff>231775</xdr:rowOff>
    </xdr:from>
    <xdr:to>
      <xdr:col>3</xdr:col>
      <xdr:colOff>539750</xdr:colOff>
      <xdr:row>407</xdr:row>
      <xdr:rowOff>450850</xdr:rowOff>
    </xdr:to>
    <xdr:pic>
      <xdr:nvPicPr>
        <xdr:cNvPr id="40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56</xdr:row>
      <xdr:rowOff>228600</xdr:rowOff>
    </xdr:from>
    <xdr:to>
      <xdr:col>10</xdr:col>
      <xdr:colOff>260350</xdr:colOff>
      <xdr:row>56</xdr:row>
      <xdr:rowOff>447675</xdr:rowOff>
    </xdr:to>
    <xdr:pic>
      <xdr:nvPicPr>
        <xdr:cNvPr id="40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56</xdr:row>
      <xdr:rowOff>231775</xdr:rowOff>
    </xdr:from>
    <xdr:to>
      <xdr:col>10</xdr:col>
      <xdr:colOff>539750</xdr:colOff>
      <xdr:row>56</xdr:row>
      <xdr:rowOff>450850</xdr:rowOff>
    </xdr:to>
    <xdr:pic>
      <xdr:nvPicPr>
        <xdr:cNvPr id="40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56</xdr:row>
      <xdr:rowOff>228600</xdr:rowOff>
    </xdr:from>
    <xdr:to>
      <xdr:col>3</xdr:col>
      <xdr:colOff>260350</xdr:colOff>
      <xdr:row>56</xdr:row>
      <xdr:rowOff>447675</xdr:rowOff>
    </xdr:to>
    <xdr:pic>
      <xdr:nvPicPr>
        <xdr:cNvPr id="40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56</xdr:row>
      <xdr:rowOff>231775</xdr:rowOff>
    </xdr:from>
    <xdr:to>
      <xdr:col>3</xdr:col>
      <xdr:colOff>539750</xdr:colOff>
      <xdr:row>56</xdr:row>
      <xdr:rowOff>450850</xdr:rowOff>
    </xdr:to>
    <xdr:pic>
      <xdr:nvPicPr>
        <xdr:cNvPr id="40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52</xdr:row>
      <xdr:rowOff>231775</xdr:rowOff>
    </xdr:from>
    <xdr:to>
      <xdr:col>3</xdr:col>
      <xdr:colOff>539750</xdr:colOff>
      <xdr:row>52</xdr:row>
      <xdr:rowOff>450850</xdr:rowOff>
    </xdr:to>
    <xdr:pic>
      <xdr:nvPicPr>
        <xdr:cNvPr id="408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52</xdr:row>
      <xdr:rowOff>231775</xdr:rowOff>
    </xdr:from>
    <xdr:to>
      <xdr:col>10</xdr:col>
      <xdr:colOff>539750</xdr:colOff>
      <xdr:row>52</xdr:row>
      <xdr:rowOff>450850</xdr:rowOff>
    </xdr:to>
    <xdr:pic>
      <xdr:nvPicPr>
        <xdr:cNvPr id="40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151</xdr:row>
      <xdr:rowOff>228600</xdr:rowOff>
    </xdr:from>
    <xdr:to>
      <xdr:col>10</xdr:col>
      <xdr:colOff>260350</xdr:colOff>
      <xdr:row>151</xdr:row>
      <xdr:rowOff>447675</xdr:rowOff>
    </xdr:to>
    <xdr:pic>
      <xdr:nvPicPr>
        <xdr:cNvPr id="4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151</xdr:row>
      <xdr:rowOff>231775</xdr:rowOff>
    </xdr:from>
    <xdr:to>
      <xdr:col>10</xdr:col>
      <xdr:colOff>539750</xdr:colOff>
      <xdr:row>151</xdr:row>
      <xdr:rowOff>450850</xdr:rowOff>
    </xdr:to>
    <xdr:pic>
      <xdr:nvPicPr>
        <xdr:cNvPr id="4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151</xdr:row>
      <xdr:rowOff>228600</xdr:rowOff>
    </xdr:from>
    <xdr:to>
      <xdr:col>3</xdr:col>
      <xdr:colOff>260350</xdr:colOff>
      <xdr:row>151</xdr:row>
      <xdr:rowOff>447675</xdr:rowOff>
    </xdr:to>
    <xdr:pic>
      <xdr:nvPicPr>
        <xdr:cNvPr id="4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151</xdr:row>
      <xdr:rowOff>231775</xdr:rowOff>
    </xdr:from>
    <xdr:to>
      <xdr:col>3</xdr:col>
      <xdr:colOff>539750</xdr:colOff>
      <xdr:row>151</xdr:row>
      <xdr:rowOff>450850</xdr:rowOff>
    </xdr:to>
    <xdr:pic>
      <xdr:nvPicPr>
        <xdr:cNvPr id="4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147</xdr:row>
      <xdr:rowOff>231775</xdr:rowOff>
    </xdr:from>
    <xdr:to>
      <xdr:col>10</xdr:col>
      <xdr:colOff>539750</xdr:colOff>
      <xdr:row>147</xdr:row>
      <xdr:rowOff>450850</xdr:rowOff>
    </xdr:to>
    <xdr:pic>
      <xdr:nvPicPr>
        <xdr:cNvPr id="414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147</xdr:row>
      <xdr:rowOff>231775</xdr:rowOff>
    </xdr:from>
    <xdr:to>
      <xdr:col>3</xdr:col>
      <xdr:colOff>539750</xdr:colOff>
      <xdr:row>147</xdr:row>
      <xdr:rowOff>450850</xdr:rowOff>
    </xdr:to>
    <xdr:pic>
      <xdr:nvPicPr>
        <xdr:cNvPr id="41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197</xdr:row>
      <xdr:rowOff>228600</xdr:rowOff>
    </xdr:from>
    <xdr:to>
      <xdr:col>10</xdr:col>
      <xdr:colOff>260350</xdr:colOff>
      <xdr:row>197</xdr:row>
      <xdr:rowOff>447675</xdr:rowOff>
    </xdr:to>
    <xdr:pic>
      <xdr:nvPicPr>
        <xdr:cNvPr id="41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197</xdr:row>
      <xdr:rowOff>231775</xdr:rowOff>
    </xdr:from>
    <xdr:to>
      <xdr:col>10</xdr:col>
      <xdr:colOff>539750</xdr:colOff>
      <xdr:row>197</xdr:row>
      <xdr:rowOff>450850</xdr:rowOff>
    </xdr:to>
    <xdr:pic>
      <xdr:nvPicPr>
        <xdr:cNvPr id="41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197</xdr:row>
      <xdr:rowOff>228600</xdr:rowOff>
    </xdr:from>
    <xdr:to>
      <xdr:col>3</xdr:col>
      <xdr:colOff>260350</xdr:colOff>
      <xdr:row>197</xdr:row>
      <xdr:rowOff>447675</xdr:rowOff>
    </xdr:to>
    <xdr:pic>
      <xdr:nvPicPr>
        <xdr:cNvPr id="41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197</xdr:row>
      <xdr:rowOff>231775</xdr:rowOff>
    </xdr:from>
    <xdr:to>
      <xdr:col>3</xdr:col>
      <xdr:colOff>539750</xdr:colOff>
      <xdr:row>197</xdr:row>
      <xdr:rowOff>450850</xdr:rowOff>
    </xdr:to>
    <xdr:pic>
      <xdr:nvPicPr>
        <xdr:cNvPr id="41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193</xdr:row>
      <xdr:rowOff>231775</xdr:rowOff>
    </xdr:from>
    <xdr:to>
      <xdr:col>10</xdr:col>
      <xdr:colOff>539750</xdr:colOff>
      <xdr:row>193</xdr:row>
      <xdr:rowOff>450850</xdr:rowOff>
    </xdr:to>
    <xdr:pic>
      <xdr:nvPicPr>
        <xdr:cNvPr id="420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193</xdr:row>
      <xdr:rowOff>231775</xdr:rowOff>
    </xdr:from>
    <xdr:to>
      <xdr:col>3</xdr:col>
      <xdr:colOff>539750</xdr:colOff>
      <xdr:row>193</xdr:row>
      <xdr:rowOff>450850</xdr:rowOff>
    </xdr:to>
    <xdr:pic>
      <xdr:nvPicPr>
        <xdr:cNvPr id="42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159</xdr:row>
      <xdr:rowOff>228600</xdr:rowOff>
    </xdr:from>
    <xdr:to>
      <xdr:col>10</xdr:col>
      <xdr:colOff>260350</xdr:colOff>
      <xdr:row>159</xdr:row>
      <xdr:rowOff>447675</xdr:rowOff>
    </xdr:to>
    <xdr:pic>
      <xdr:nvPicPr>
        <xdr:cNvPr id="42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159</xdr:row>
      <xdr:rowOff>231775</xdr:rowOff>
    </xdr:from>
    <xdr:to>
      <xdr:col>10</xdr:col>
      <xdr:colOff>539750</xdr:colOff>
      <xdr:row>159</xdr:row>
      <xdr:rowOff>450850</xdr:rowOff>
    </xdr:to>
    <xdr:pic>
      <xdr:nvPicPr>
        <xdr:cNvPr id="42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159</xdr:row>
      <xdr:rowOff>228600</xdr:rowOff>
    </xdr:from>
    <xdr:to>
      <xdr:col>3</xdr:col>
      <xdr:colOff>260350</xdr:colOff>
      <xdr:row>159</xdr:row>
      <xdr:rowOff>447675</xdr:rowOff>
    </xdr:to>
    <xdr:pic>
      <xdr:nvPicPr>
        <xdr:cNvPr id="42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159</xdr:row>
      <xdr:rowOff>231775</xdr:rowOff>
    </xdr:from>
    <xdr:to>
      <xdr:col>3</xdr:col>
      <xdr:colOff>539750</xdr:colOff>
      <xdr:row>159</xdr:row>
      <xdr:rowOff>450850</xdr:rowOff>
    </xdr:to>
    <xdr:pic>
      <xdr:nvPicPr>
        <xdr:cNvPr id="42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155</xdr:row>
      <xdr:rowOff>231775</xdr:rowOff>
    </xdr:from>
    <xdr:to>
      <xdr:col>10</xdr:col>
      <xdr:colOff>539750</xdr:colOff>
      <xdr:row>155</xdr:row>
      <xdr:rowOff>450850</xdr:rowOff>
    </xdr:to>
    <xdr:pic>
      <xdr:nvPicPr>
        <xdr:cNvPr id="426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155</xdr:row>
      <xdr:rowOff>231775</xdr:rowOff>
    </xdr:from>
    <xdr:to>
      <xdr:col>3</xdr:col>
      <xdr:colOff>539750</xdr:colOff>
      <xdr:row>155</xdr:row>
      <xdr:rowOff>450850</xdr:rowOff>
    </xdr:to>
    <xdr:pic>
      <xdr:nvPicPr>
        <xdr:cNvPr id="42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69850</xdr:colOff>
      <xdr:row>173</xdr:row>
      <xdr:rowOff>228600</xdr:rowOff>
    </xdr:from>
    <xdr:to>
      <xdr:col>10</xdr:col>
      <xdr:colOff>260350</xdr:colOff>
      <xdr:row>173</xdr:row>
      <xdr:rowOff>447675</xdr:rowOff>
    </xdr:to>
    <xdr:pic>
      <xdr:nvPicPr>
        <xdr:cNvPr id="42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50950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173</xdr:row>
      <xdr:rowOff>231775</xdr:rowOff>
    </xdr:from>
    <xdr:to>
      <xdr:col>10</xdr:col>
      <xdr:colOff>539750</xdr:colOff>
      <xdr:row>173</xdr:row>
      <xdr:rowOff>450850</xdr:rowOff>
    </xdr:to>
    <xdr:pic>
      <xdr:nvPicPr>
        <xdr:cNvPr id="42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69850</xdr:colOff>
      <xdr:row>173</xdr:row>
      <xdr:rowOff>228600</xdr:rowOff>
    </xdr:from>
    <xdr:to>
      <xdr:col>3</xdr:col>
      <xdr:colOff>260350</xdr:colOff>
      <xdr:row>173</xdr:row>
      <xdr:rowOff>447675</xdr:rowOff>
    </xdr:to>
    <xdr:pic>
      <xdr:nvPicPr>
        <xdr:cNvPr id="4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84550" y="7096125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173</xdr:row>
      <xdr:rowOff>231775</xdr:rowOff>
    </xdr:from>
    <xdr:to>
      <xdr:col>3</xdr:col>
      <xdr:colOff>539750</xdr:colOff>
      <xdr:row>173</xdr:row>
      <xdr:rowOff>450850</xdr:rowOff>
    </xdr:to>
    <xdr:pic>
      <xdr:nvPicPr>
        <xdr:cNvPr id="43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320675</xdr:colOff>
      <xdr:row>169</xdr:row>
      <xdr:rowOff>231775</xdr:rowOff>
    </xdr:from>
    <xdr:to>
      <xdr:col>10</xdr:col>
      <xdr:colOff>539750</xdr:colOff>
      <xdr:row>169</xdr:row>
      <xdr:rowOff>450850</xdr:rowOff>
    </xdr:to>
    <xdr:pic>
      <xdr:nvPicPr>
        <xdr:cNvPr id="43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76032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320675</xdr:colOff>
      <xdr:row>169</xdr:row>
      <xdr:rowOff>231775</xdr:rowOff>
    </xdr:from>
    <xdr:to>
      <xdr:col>3</xdr:col>
      <xdr:colOff>539750</xdr:colOff>
      <xdr:row>169</xdr:row>
      <xdr:rowOff>450850</xdr:rowOff>
    </xdr:to>
    <xdr:pic>
      <xdr:nvPicPr>
        <xdr:cNvPr id="43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35375" y="7096125"/>
          <a:ext cx="219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12</xdr:row>
      <xdr:rowOff>228600</xdr:rowOff>
    </xdr:from>
    <xdr:to>
      <xdr:col>1</xdr:col>
      <xdr:colOff>260350</xdr:colOff>
      <xdr:row>12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495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12</xdr:row>
      <xdr:rowOff>231775</xdr:rowOff>
    </xdr:from>
    <xdr:to>
      <xdr:col>1</xdr:col>
      <xdr:colOff>539750</xdr:colOff>
      <xdr:row>12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495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12</xdr:row>
      <xdr:rowOff>228600</xdr:rowOff>
    </xdr:from>
    <xdr:to>
      <xdr:col>8</xdr:col>
      <xdr:colOff>260350</xdr:colOff>
      <xdr:row>12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495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12</xdr:row>
      <xdr:rowOff>231775</xdr:rowOff>
    </xdr:from>
    <xdr:to>
      <xdr:col>8</xdr:col>
      <xdr:colOff>539750</xdr:colOff>
      <xdr:row>12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495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15</xdr:row>
      <xdr:rowOff>228600</xdr:rowOff>
    </xdr:from>
    <xdr:to>
      <xdr:col>1</xdr:col>
      <xdr:colOff>260350</xdr:colOff>
      <xdr:row>15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6429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15</xdr:row>
      <xdr:rowOff>231775</xdr:rowOff>
    </xdr:from>
    <xdr:to>
      <xdr:col>1</xdr:col>
      <xdr:colOff>539750</xdr:colOff>
      <xdr:row>15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6432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15</xdr:row>
      <xdr:rowOff>228600</xdr:rowOff>
    </xdr:from>
    <xdr:to>
      <xdr:col>8</xdr:col>
      <xdr:colOff>260350</xdr:colOff>
      <xdr:row>15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6429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15</xdr:row>
      <xdr:rowOff>231775</xdr:rowOff>
    </xdr:from>
    <xdr:to>
      <xdr:col>8</xdr:col>
      <xdr:colOff>539750</xdr:colOff>
      <xdr:row>15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6432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18</xdr:row>
      <xdr:rowOff>228600</xdr:rowOff>
    </xdr:from>
    <xdr:to>
      <xdr:col>1</xdr:col>
      <xdr:colOff>260350</xdr:colOff>
      <xdr:row>18</xdr:row>
      <xdr:rowOff>447675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18</xdr:row>
      <xdr:rowOff>231775</xdr:rowOff>
    </xdr:from>
    <xdr:to>
      <xdr:col>1</xdr:col>
      <xdr:colOff>539750</xdr:colOff>
      <xdr:row>18</xdr:row>
      <xdr:rowOff>450850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18</xdr:row>
      <xdr:rowOff>228600</xdr:rowOff>
    </xdr:from>
    <xdr:to>
      <xdr:col>8</xdr:col>
      <xdr:colOff>260350</xdr:colOff>
      <xdr:row>18</xdr:row>
      <xdr:rowOff>447675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18</xdr:row>
      <xdr:rowOff>231775</xdr:rowOff>
    </xdr:from>
    <xdr:to>
      <xdr:col>8</xdr:col>
      <xdr:colOff>539750</xdr:colOff>
      <xdr:row>18</xdr:row>
      <xdr:rowOff>450850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69850</xdr:colOff>
      <xdr:row>13</xdr:row>
      <xdr:rowOff>228600</xdr:rowOff>
    </xdr:from>
    <xdr:to>
      <xdr:col>1</xdr:col>
      <xdr:colOff>260350</xdr:colOff>
      <xdr:row>13</xdr:row>
      <xdr:rowOff>447675</xdr:rowOff>
    </xdr:to>
    <xdr:pic>
      <xdr:nvPicPr>
        <xdr:cNvPr id="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495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13</xdr:row>
      <xdr:rowOff>231775</xdr:rowOff>
    </xdr:from>
    <xdr:to>
      <xdr:col>1</xdr:col>
      <xdr:colOff>539750</xdr:colOff>
      <xdr:row>13</xdr:row>
      <xdr:rowOff>450850</xdr:rowOff>
    </xdr:to>
    <xdr:pic>
      <xdr:nvPicPr>
        <xdr:cNvPr id="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495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13</xdr:row>
      <xdr:rowOff>228600</xdr:rowOff>
    </xdr:from>
    <xdr:to>
      <xdr:col>8</xdr:col>
      <xdr:colOff>260350</xdr:colOff>
      <xdr:row>13</xdr:row>
      <xdr:rowOff>447675</xdr:rowOff>
    </xdr:to>
    <xdr:pic>
      <xdr:nvPicPr>
        <xdr:cNvPr id="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4953000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13</xdr:row>
      <xdr:rowOff>231775</xdr:rowOff>
    </xdr:from>
    <xdr:to>
      <xdr:col>8</xdr:col>
      <xdr:colOff>539750</xdr:colOff>
      <xdr:row>13</xdr:row>
      <xdr:rowOff>450850</xdr:rowOff>
    </xdr:to>
    <xdr:pic>
      <xdr:nvPicPr>
        <xdr:cNvPr id="5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4956175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17</xdr:row>
      <xdr:rowOff>228600</xdr:rowOff>
    </xdr:from>
    <xdr:to>
      <xdr:col>1</xdr:col>
      <xdr:colOff>260350</xdr:colOff>
      <xdr:row>17</xdr:row>
      <xdr:rowOff>447675</xdr:rowOff>
    </xdr:to>
    <xdr:pic>
      <xdr:nvPicPr>
        <xdr:cNvPr id="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6429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17</xdr:row>
      <xdr:rowOff>231775</xdr:rowOff>
    </xdr:from>
    <xdr:to>
      <xdr:col>1</xdr:col>
      <xdr:colOff>539750</xdr:colOff>
      <xdr:row>17</xdr:row>
      <xdr:rowOff>450850</xdr:rowOff>
    </xdr:to>
    <xdr:pic>
      <xdr:nvPicPr>
        <xdr:cNvPr id="7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6432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17</xdr:row>
      <xdr:rowOff>228600</xdr:rowOff>
    </xdr:from>
    <xdr:to>
      <xdr:col>8</xdr:col>
      <xdr:colOff>260350</xdr:colOff>
      <xdr:row>17</xdr:row>
      <xdr:rowOff>447675</xdr:rowOff>
    </xdr:to>
    <xdr:pic>
      <xdr:nvPicPr>
        <xdr:cNvPr id="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642937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17</xdr:row>
      <xdr:rowOff>231775</xdr:rowOff>
    </xdr:from>
    <xdr:to>
      <xdr:col>8</xdr:col>
      <xdr:colOff>539750</xdr:colOff>
      <xdr:row>17</xdr:row>
      <xdr:rowOff>450850</xdr:rowOff>
    </xdr:to>
    <xdr:pic>
      <xdr:nvPicPr>
        <xdr:cNvPr id="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643255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69850</xdr:colOff>
      <xdr:row>18</xdr:row>
      <xdr:rowOff>0</xdr:rowOff>
    </xdr:from>
    <xdr:to>
      <xdr:col>1</xdr:col>
      <xdr:colOff>260350</xdr:colOff>
      <xdr:row>18</xdr:row>
      <xdr:rowOff>0</xdr:rowOff>
    </xdr:to>
    <xdr:pic>
      <xdr:nvPicPr>
        <xdr:cNvPr id="1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662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320675</xdr:colOff>
      <xdr:row>18</xdr:row>
      <xdr:rowOff>0</xdr:rowOff>
    </xdr:from>
    <xdr:to>
      <xdr:col>1</xdr:col>
      <xdr:colOff>539750</xdr:colOff>
      <xdr:row>18</xdr:row>
      <xdr:rowOff>0</xdr:rowOff>
    </xdr:to>
    <xdr:pic>
      <xdr:nvPicPr>
        <xdr:cNvPr id="11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8745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69850</xdr:colOff>
      <xdr:row>18</xdr:row>
      <xdr:rowOff>0</xdr:rowOff>
    </xdr:from>
    <xdr:to>
      <xdr:col>8</xdr:col>
      <xdr:colOff>260350</xdr:colOff>
      <xdr:row>18</xdr:row>
      <xdr:rowOff>0</xdr:rowOff>
    </xdr:to>
    <xdr:pic>
      <xdr:nvPicPr>
        <xdr:cNvPr id="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4775" y="7896225"/>
          <a:ext cx="190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320675</xdr:colOff>
      <xdr:row>18</xdr:row>
      <xdr:rowOff>0</xdr:rowOff>
    </xdr:from>
    <xdr:to>
      <xdr:col>8</xdr:col>
      <xdr:colOff>539750</xdr:colOff>
      <xdr:row>18</xdr:row>
      <xdr:rowOff>0</xdr:rowOff>
    </xdr:to>
    <xdr:pic>
      <xdr:nvPicPr>
        <xdr:cNvPr id="13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45600" y="7899400"/>
          <a:ext cx="2190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1"/>
  <sheetViews>
    <sheetView view="pageBreakPreview" zoomScaleNormal="100" zoomScaleSheetLayoutView="100" workbookViewId="0">
      <selection activeCell="A2" sqref="A2"/>
    </sheetView>
  </sheetViews>
  <sheetFormatPr defaultRowHeight="15" x14ac:dyDescent="0.25"/>
  <cols>
    <col min="1" max="1" width="111.140625" customWidth="1"/>
    <col min="2" max="2" width="19.140625" style="164" customWidth="1"/>
    <col min="3" max="3" width="17.85546875" style="164" customWidth="1"/>
    <col min="4" max="4" width="18.28515625" style="164" customWidth="1"/>
    <col min="5" max="5" width="9.140625" style="164"/>
  </cols>
  <sheetData>
    <row r="1" spans="1:5" ht="65.25" customHeight="1" x14ac:dyDescent="0.25">
      <c r="A1" s="72" t="s">
        <v>278</v>
      </c>
      <c r="B1" s="72" t="s">
        <v>279</v>
      </c>
      <c r="C1" s="72" t="s">
        <v>280</v>
      </c>
      <c r="D1" s="72" t="s">
        <v>281</v>
      </c>
      <c r="E1" s="310"/>
    </row>
    <row r="2" spans="1:5" s="155" customFormat="1" ht="45" x14ac:dyDescent="0.25">
      <c r="A2" s="243" t="s">
        <v>623</v>
      </c>
      <c r="B2" s="152">
        <v>1</v>
      </c>
      <c r="C2" s="152">
        <v>2</v>
      </c>
      <c r="D2" s="540"/>
      <c r="E2" s="152">
        <f t="shared" ref="E2:E7" si="0">SUM(B2:D2)</f>
        <v>3</v>
      </c>
    </row>
    <row r="3" spans="1:5" s="155" customFormat="1" ht="45" x14ac:dyDescent="0.25">
      <c r="A3" s="243" t="s">
        <v>606</v>
      </c>
      <c r="B3" s="152">
        <v>1</v>
      </c>
      <c r="C3" s="152">
        <v>1</v>
      </c>
      <c r="D3" s="540"/>
      <c r="E3" s="152">
        <f t="shared" si="0"/>
        <v>2</v>
      </c>
    </row>
    <row r="4" spans="1:5" s="155" customFormat="1" ht="45" x14ac:dyDescent="0.25">
      <c r="A4" s="243" t="s">
        <v>483</v>
      </c>
      <c r="B4" s="152">
        <v>45</v>
      </c>
      <c r="C4" s="152">
        <v>36</v>
      </c>
      <c r="D4" s="540"/>
      <c r="E4" s="152">
        <f t="shared" si="0"/>
        <v>81</v>
      </c>
    </row>
    <row r="5" spans="1:5" s="155" customFormat="1" ht="30" x14ac:dyDescent="0.25">
      <c r="A5" s="243" t="s">
        <v>398</v>
      </c>
      <c r="B5" s="152">
        <v>2</v>
      </c>
      <c r="C5" s="152">
        <v>10</v>
      </c>
      <c r="D5" s="540"/>
      <c r="E5" s="152">
        <f t="shared" si="0"/>
        <v>12</v>
      </c>
    </row>
    <row r="6" spans="1:5" s="155" customFormat="1" ht="30" x14ac:dyDescent="0.25">
      <c r="A6" s="243" t="s">
        <v>595</v>
      </c>
      <c r="B6" s="152">
        <v>10</v>
      </c>
      <c r="C6" s="152">
        <v>5</v>
      </c>
      <c r="D6" s="540"/>
      <c r="E6" s="152">
        <f t="shared" si="0"/>
        <v>15</v>
      </c>
    </row>
    <row r="7" spans="1:5" x14ac:dyDescent="0.25">
      <c r="A7" s="541" t="s">
        <v>344</v>
      </c>
      <c r="B7" s="153">
        <f>SUM(B2:B6)</f>
        <v>59</v>
      </c>
      <c r="C7" s="153">
        <f>SUM(C2:C6)</f>
        <v>54</v>
      </c>
      <c r="D7" s="540">
        <f>SUM(D2:D6)</f>
        <v>0</v>
      </c>
      <c r="E7" s="311">
        <f t="shared" si="0"/>
        <v>113</v>
      </c>
    </row>
    <row r="8" spans="1:5" s="155" customFormat="1" x14ac:dyDescent="0.25">
      <c r="A8" s="538"/>
      <c r="B8" s="539"/>
      <c r="C8" s="539"/>
      <c r="D8" s="539"/>
      <c r="E8" s="539"/>
    </row>
    <row r="9" spans="1:5" s="155" customFormat="1" x14ac:dyDescent="0.25">
      <c r="A9" s="180"/>
      <c r="B9" s="539"/>
      <c r="C9" s="539"/>
      <c r="D9" s="539"/>
      <c r="E9" s="539"/>
    </row>
    <row r="10" spans="1:5" s="155" customFormat="1" x14ac:dyDescent="0.25">
      <c r="B10" s="312"/>
      <c r="C10" s="312"/>
      <c r="D10" s="312"/>
      <c r="E10" s="312"/>
    </row>
    <row r="11" spans="1:5" s="155" customFormat="1" x14ac:dyDescent="0.25">
      <c r="B11" s="312"/>
      <c r="C11" s="312"/>
      <c r="D11" s="312"/>
      <c r="E11" s="312"/>
    </row>
  </sheetData>
  <pageMargins left="0.7" right="0.7" top="0.75" bottom="0.75" header="0.3" footer="0.3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25"/>
  <sheetViews>
    <sheetView view="pageBreakPreview" zoomScale="71" zoomScaleSheetLayoutView="71" workbookViewId="0">
      <selection activeCell="P25" sqref="P25"/>
    </sheetView>
  </sheetViews>
  <sheetFormatPr defaultRowHeight="16.5" x14ac:dyDescent="0.25"/>
  <cols>
    <col min="1" max="1" width="13.28515625" style="29" bestFit="1" customWidth="1"/>
    <col min="2" max="2" width="38.140625" style="29" customWidth="1"/>
    <col min="3" max="3" width="19.5703125" style="29" customWidth="1"/>
    <col min="4" max="4" width="14.5703125" style="29" customWidth="1"/>
    <col min="5" max="5" width="12.5703125" style="29" customWidth="1"/>
    <col min="6" max="6" width="16.7109375" style="460" customWidth="1"/>
    <col min="7" max="8" width="12.5703125" style="29" customWidth="1"/>
    <col min="9" max="9" width="40.7109375" style="29" customWidth="1"/>
    <col min="10" max="10" width="18.28515625" style="29" customWidth="1"/>
    <col min="11" max="12" width="14.5703125" style="29" customWidth="1"/>
    <col min="13" max="13" width="12.5703125" style="460" customWidth="1"/>
    <col min="14" max="15" width="12.5703125" style="29" customWidth="1"/>
    <col min="16" max="16" width="19.7109375" style="29" customWidth="1"/>
    <col min="17" max="17" width="26.28515625" style="29" customWidth="1"/>
  </cols>
  <sheetData>
    <row r="1" spans="1:18" x14ac:dyDescent="0.25">
      <c r="A1" s="25"/>
      <c r="B1" s="25"/>
      <c r="C1" s="181"/>
      <c r="D1" s="26"/>
      <c r="E1" s="26"/>
      <c r="F1" s="458"/>
      <c r="G1" s="25"/>
      <c r="H1" s="25"/>
      <c r="I1" s="25"/>
      <c r="J1" s="25"/>
      <c r="K1" s="25"/>
      <c r="L1" s="25"/>
      <c r="M1" s="459"/>
      <c r="N1" s="25"/>
      <c r="O1" s="25"/>
      <c r="P1" s="25"/>
      <c r="Q1" s="25"/>
    </row>
    <row r="2" spans="1:18" x14ac:dyDescent="0.25">
      <c r="A2"/>
      <c r="B2" s="558" t="s">
        <v>0</v>
      </c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  <c r="P2" s="558"/>
      <c r="Q2" s="558"/>
      <c r="R2" s="25"/>
    </row>
    <row r="3" spans="1:18" x14ac:dyDescent="0.25">
      <c r="A3"/>
      <c r="B3" s="558" t="s">
        <v>32</v>
      </c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  <c r="P3" s="558"/>
      <c r="Q3" s="558"/>
      <c r="R3" s="25"/>
    </row>
    <row r="4" spans="1:18" ht="18.75" x14ac:dyDescent="0.25">
      <c r="A4"/>
      <c r="B4" s="559" t="s">
        <v>73</v>
      </c>
      <c r="C4" s="559"/>
      <c r="D4" s="559"/>
      <c r="E4" s="559"/>
      <c r="F4" s="559"/>
      <c r="G4" s="559"/>
      <c r="H4" s="559"/>
      <c r="I4" s="559"/>
      <c r="J4" s="559"/>
      <c r="K4" s="559"/>
      <c r="L4" s="559"/>
      <c r="M4" s="559"/>
      <c r="N4" s="559"/>
      <c r="O4" s="559"/>
      <c r="P4" s="559"/>
      <c r="Q4" s="559"/>
      <c r="R4" s="25"/>
    </row>
    <row r="5" spans="1:18" x14ac:dyDescent="0.25">
      <c r="A5"/>
      <c r="B5" s="560" t="s">
        <v>33</v>
      </c>
      <c r="C5" s="560"/>
      <c r="D5" s="560"/>
      <c r="E5" s="560"/>
      <c r="F5" s="560"/>
      <c r="G5" s="560"/>
      <c r="H5" s="560"/>
      <c r="I5" s="560"/>
      <c r="J5" s="560"/>
      <c r="K5" s="560"/>
      <c r="L5" s="560"/>
      <c r="M5" s="560"/>
      <c r="N5" s="560"/>
      <c r="O5" s="560"/>
      <c r="P5" s="560"/>
      <c r="Q5" s="560"/>
      <c r="R5" s="448"/>
    </row>
    <row r="6" spans="1:18" x14ac:dyDescent="0.25">
      <c r="A6"/>
      <c r="B6" s="558" t="s">
        <v>563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8"/>
      <c r="O6" s="558"/>
      <c r="P6" s="558"/>
      <c r="Q6" s="558"/>
      <c r="R6" s="25"/>
    </row>
    <row r="7" spans="1:18" x14ac:dyDescent="0.25">
      <c r="A7"/>
      <c r="B7" s="447"/>
      <c r="C7" s="447"/>
      <c r="D7" s="447"/>
      <c r="E7" s="447"/>
      <c r="F7" s="90"/>
      <c r="G7" s="447"/>
      <c r="H7" s="447"/>
      <c r="I7" s="447"/>
      <c r="J7" s="447"/>
      <c r="K7" s="447"/>
      <c r="L7" s="447"/>
      <c r="M7" s="90"/>
      <c r="N7" s="447"/>
      <c r="O7" s="447"/>
      <c r="P7" s="447"/>
      <c r="Q7" s="447"/>
      <c r="R7" s="25"/>
    </row>
    <row r="8" spans="1:18" x14ac:dyDescent="0.25">
      <c r="A8" s="449"/>
      <c r="B8" s="553" t="s">
        <v>2</v>
      </c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5"/>
      <c r="P8" s="555"/>
      <c r="Q8" s="555"/>
    </row>
    <row r="9" spans="1:18" x14ac:dyDescent="0.25">
      <c r="A9" s="449"/>
      <c r="B9" s="553" t="s">
        <v>70</v>
      </c>
      <c r="C9" s="553"/>
      <c r="D9" s="553"/>
      <c r="E9" s="553"/>
      <c r="F9" s="553"/>
      <c r="G9" s="553"/>
      <c r="H9" s="553" t="s">
        <v>71</v>
      </c>
      <c r="I9" s="554"/>
      <c r="J9" s="554"/>
      <c r="K9" s="554"/>
      <c r="L9" s="554"/>
      <c r="M9" s="554"/>
      <c r="N9" s="554"/>
      <c r="O9" s="553" t="s">
        <v>24</v>
      </c>
      <c r="P9" s="553"/>
      <c r="Q9" s="555"/>
    </row>
    <row r="10" spans="1:18" ht="66" x14ac:dyDescent="0.25">
      <c r="A10" s="449" t="s">
        <v>1</v>
      </c>
      <c r="B10" s="449" t="s">
        <v>5</v>
      </c>
      <c r="C10" s="449" t="s">
        <v>11</v>
      </c>
      <c r="D10" s="27" t="s">
        <v>54</v>
      </c>
      <c r="E10" s="27" t="s">
        <v>55</v>
      </c>
      <c r="F10" s="422" t="s">
        <v>56</v>
      </c>
      <c r="G10" s="27" t="s">
        <v>57</v>
      </c>
      <c r="H10" s="449" t="s">
        <v>1</v>
      </c>
      <c r="I10" s="449" t="s">
        <v>5</v>
      </c>
      <c r="J10" s="449" t="s">
        <v>11</v>
      </c>
      <c r="K10" s="27" t="s">
        <v>58</v>
      </c>
      <c r="L10" s="27" t="s">
        <v>59</v>
      </c>
      <c r="M10" s="422" t="s">
        <v>60</v>
      </c>
      <c r="N10" s="27" t="s">
        <v>61</v>
      </c>
      <c r="O10" s="27" t="s">
        <v>62</v>
      </c>
      <c r="P10" s="449" t="s">
        <v>422</v>
      </c>
      <c r="Q10" s="449" t="s">
        <v>423</v>
      </c>
    </row>
    <row r="11" spans="1:18" s="45" customFormat="1" ht="12" x14ac:dyDescent="0.2">
      <c r="A11" s="48">
        <v>1</v>
      </c>
      <c r="B11" s="48">
        <v>2</v>
      </c>
      <c r="C11" s="48">
        <v>3</v>
      </c>
      <c r="D11" s="52">
        <v>4</v>
      </c>
      <c r="E11" s="48">
        <v>5</v>
      </c>
      <c r="F11" s="295">
        <v>6</v>
      </c>
      <c r="G11" s="48">
        <v>7</v>
      </c>
      <c r="H11" s="52">
        <v>8</v>
      </c>
      <c r="I11" s="48">
        <v>9</v>
      </c>
      <c r="J11" s="48">
        <v>10</v>
      </c>
      <c r="K11" s="48">
        <v>11</v>
      </c>
      <c r="L11" s="48">
        <v>12</v>
      </c>
      <c r="M11" s="295">
        <v>13</v>
      </c>
      <c r="N11" s="48">
        <v>14</v>
      </c>
      <c r="O11" s="48">
        <v>15</v>
      </c>
      <c r="P11" s="48">
        <v>16</v>
      </c>
      <c r="Q11" s="48">
        <v>17</v>
      </c>
    </row>
    <row r="12" spans="1:18" s="157" customFormat="1" ht="33" x14ac:dyDescent="0.25">
      <c r="A12" s="450" t="s">
        <v>12</v>
      </c>
      <c r="B12" s="68" t="s">
        <v>266</v>
      </c>
      <c r="C12" s="450"/>
      <c r="D12" s="450"/>
      <c r="E12" s="450"/>
      <c r="F12" s="454"/>
      <c r="G12" s="452"/>
      <c r="H12" s="450" t="s">
        <v>12</v>
      </c>
      <c r="I12" s="22" t="str">
        <f>B12</f>
        <v>Осуществление издательской деятельности</v>
      </c>
      <c r="J12" s="450"/>
      <c r="K12" s="451"/>
      <c r="L12" s="451"/>
      <c r="M12" s="454"/>
      <c r="N12" s="452"/>
      <c r="O12" s="158"/>
      <c r="P12" s="450"/>
      <c r="Q12" s="556" t="s">
        <v>279</v>
      </c>
    </row>
    <row r="13" spans="1:18" ht="66" x14ac:dyDescent="0.25">
      <c r="A13" s="35">
        <v>1</v>
      </c>
      <c r="B13" s="28" t="s">
        <v>267</v>
      </c>
      <c r="C13" s="35" t="s">
        <v>25</v>
      </c>
      <c r="D13" s="14">
        <v>100</v>
      </c>
      <c r="E13" s="69">
        <v>114.1</v>
      </c>
      <c r="F13" s="24">
        <f>IF(E13/D13*100&gt;100,100,E13/D13*100)</f>
        <v>100</v>
      </c>
      <c r="G13" s="35"/>
      <c r="H13" s="35" t="s">
        <v>67</v>
      </c>
      <c r="I13" s="455" t="s">
        <v>328</v>
      </c>
      <c r="J13" s="456" t="s">
        <v>260</v>
      </c>
      <c r="K13" s="141">
        <v>1162588</v>
      </c>
      <c r="L13" s="141">
        <v>1326576</v>
      </c>
      <c r="M13" s="24">
        <f>IF(L13/K13*100&gt;110,110,L13/K13*100)</f>
        <v>110</v>
      </c>
      <c r="N13" s="142"/>
      <c r="O13" s="143"/>
      <c r="P13" s="143"/>
      <c r="Q13" s="557"/>
    </row>
    <row r="14" spans="1:18" ht="23.25" customHeight="1" x14ac:dyDescent="0.25">
      <c r="A14" s="34" t="s">
        <v>7</v>
      </c>
      <c r="B14" s="28" t="s">
        <v>63</v>
      </c>
      <c r="C14" s="35" t="s">
        <v>25</v>
      </c>
      <c r="D14" s="14">
        <v>100</v>
      </c>
      <c r="E14" s="69">
        <v>97.9</v>
      </c>
      <c r="F14" s="24">
        <f t="shared" ref="F14:F16" si="0">IF(E14/D14*100&gt;100,100,E14/D14*100)</f>
        <v>97.9</v>
      </c>
      <c r="G14" s="35"/>
      <c r="H14" s="34"/>
      <c r="I14" s="28" t="s">
        <v>329</v>
      </c>
      <c r="J14" s="456" t="s">
        <v>260</v>
      </c>
      <c r="K14" s="32">
        <v>593844</v>
      </c>
      <c r="L14" s="32">
        <v>631445</v>
      </c>
      <c r="M14" s="24">
        <f t="shared" ref="M14:M22" si="1">IF(L14/K14*100&gt;110,110,L14/K14*100)</f>
        <v>106.33179757646789</v>
      </c>
      <c r="N14" s="456"/>
      <c r="O14" s="456"/>
      <c r="P14" s="456"/>
      <c r="Q14" s="557"/>
    </row>
    <row r="15" spans="1:18" ht="33" x14ac:dyDescent="0.25">
      <c r="A15" s="35" t="s">
        <v>8</v>
      </c>
      <c r="B15" s="28" t="s">
        <v>64</v>
      </c>
      <c r="C15" s="35" t="s">
        <v>25</v>
      </c>
      <c r="D15" s="14">
        <v>100</v>
      </c>
      <c r="E15" s="69">
        <v>375.6</v>
      </c>
      <c r="F15" s="24">
        <f t="shared" si="0"/>
        <v>100</v>
      </c>
      <c r="G15" s="35"/>
      <c r="H15" s="34" t="s">
        <v>7</v>
      </c>
      <c r="I15" s="28" t="s">
        <v>330</v>
      </c>
      <c r="J15" s="456" t="s">
        <v>260</v>
      </c>
      <c r="K15" s="32">
        <v>612000</v>
      </c>
      <c r="L15" s="32">
        <v>599028</v>
      </c>
      <c r="M15" s="24">
        <f t="shared" si="1"/>
        <v>97.880392156862754</v>
      </c>
      <c r="N15" s="456"/>
      <c r="O15" s="456"/>
      <c r="P15" s="456"/>
      <c r="Q15" s="557"/>
    </row>
    <row r="16" spans="1:18" ht="33" customHeight="1" x14ac:dyDescent="0.25">
      <c r="A16" s="35" t="s">
        <v>9</v>
      </c>
      <c r="B16" s="28" t="s">
        <v>424</v>
      </c>
      <c r="C16" s="35" t="s">
        <v>25</v>
      </c>
      <c r="D16" s="14">
        <v>100</v>
      </c>
      <c r="E16" s="69">
        <v>102</v>
      </c>
      <c r="F16" s="24">
        <f t="shared" si="0"/>
        <v>100</v>
      </c>
      <c r="G16" s="35"/>
      <c r="H16" s="35" t="s">
        <v>46</v>
      </c>
      <c r="I16" s="28" t="s">
        <v>329</v>
      </c>
      <c r="J16" s="456" t="s">
        <v>260</v>
      </c>
      <c r="K16" s="32">
        <v>537132</v>
      </c>
      <c r="L16" s="32">
        <v>467340</v>
      </c>
      <c r="M16" s="24">
        <f t="shared" si="1"/>
        <v>87.006545876991126</v>
      </c>
      <c r="N16" s="456"/>
      <c r="O16" s="456"/>
      <c r="P16" s="456"/>
      <c r="Q16" s="557"/>
    </row>
    <row r="17" spans="1:17" ht="66" x14ac:dyDescent="0.25">
      <c r="A17" s="57"/>
      <c r="B17" s="71"/>
      <c r="C17" s="57"/>
      <c r="D17" s="57"/>
      <c r="E17" s="57"/>
      <c r="F17" s="79"/>
      <c r="G17" s="57"/>
      <c r="H17" s="35" t="s">
        <v>8</v>
      </c>
      <c r="I17" s="28" t="s">
        <v>425</v>
      </c>
      <c r="J17" s="456" t="s">
        <v>260</v>
      </c>
      <c r="K17" s="32">
        <v>60588</v>
      </c>
      <c r="L17" s="32">
        <v>227548</v>
      </c>
      <c r="M17" s="24">
        <f t="shared" si="1"/>
        <v>110</v>
      </c>
      <c r="N17" s="57"/>
      <c r="O17" s="57"/>
      <c r="P17" s="28"/>
      <c r="Q17" s="557"/>
    </row>
    <row r="18" spans="1:17" ht="25.5" customHeight="1" x14ac:dyDescent="0.25">
      <c r="A18" s="449"/>
      <c r="B18" s="449"/>
      <c r="C18" s="449"/>
      <c r="D18" s="449"/>
      <c r="E18" s="449"/>
      <c r="F18" s="457"/>
      <c r="G18" s="449"/>
      <c r="H18" s="35" t="s">
        <v>331</v>
      </c>
      <c r="I18" s="28" t="s">
        <v>329</v>
      </c>
      <c r="J18" s="456" t="s">
        <v>260</v>
      </c>
      <c r="K18" s="32">
        <v>56712</v>
      </c>
      <c r="L18" s="32">
        <v>164105</v>
      </c>
      <c r="M18" s="24">
        <f t="shared" si="1"/>
        <v>110</v>
      </c>
      <c r="N18" s="449"/>
      <c r="O18" s="449"/>
      <c r="P18" s="28"/>
      <c r="Q18" s="557"/>
    </row>
    <row r="19" spans="1:17" ht="29.25" customHeight="1" x14ac:dyDescent="0.25">
      <c r="A19" s="449"/>
      <c r="B19" s="449"/>
      <c r="C19" s="449"/>
      <c r="D19" s="449"/>
      <c r="E19" s="449"/>
      <c r="F19" s="457"/>
      <c r="G19" s="449"/>
      <c r="H19" s="35" t="s">
        <v>9</v>
      </c>
      <c r="I19" s="28" t="s">
        <v>426</v>
      </c>
      <c r="J19" s="456" t="s">
        <v>260</v>
      </c>
      <c r="K19" s="32">
        <v>490000</v>
      </c>
      <c r="L19" s="32">
        <v>500000</v>
      </c>
      <c r="M19" s="24">
        <f t="shared" si="1"/>
        <v>102.04081632653062</v>
      </c>
      <c r="N19" s="449"/>
      <c r="O19" s="449"/>
      <c r="P19" s="28"/>
      <c r="Q19" s="557"/>
    </row>
    <row r="20" spans="1:17" ht="34.5" x14ac:dyDescent="0.25">
      <c r="A20" s="159"/>
      <c r="B20" s="453"/>
      <c r="C20" s="21" t="s">
        <v>430</v>
      </c>
      <c r="D20" s="453"/>
      <c r="E20" s="453"/>
      <c r="F20" s="453"/>
      <c r="G20" s="7">
        <f>(F13+F14+F15+F16)/4</f>
        <v>99.474999999999994</v>
      </c>
      <c r="H20" s="7"/>
      <c r="I20" s="30"/>
      <c r="J20" s="21" t="s">
        <v>430</v>
      </c>
      <c r="K20" s="30"/>
      <c r="L20" s="30"/>
      <c r="M20" s="30"/>
      <c r="N20" s="7">
        <f>(M13+M14+M15+M16+M17+M18+M19)/7</f>
        <v>103.32279313383606</v>
      </c>
      <c r="O20" s="7">
        <f>(G20+N20)/2</f>
        <v>101.39889656691803</v>
      </c>
      <c r="P20" s="7" t="s">
        <v>31</v>
      </c>
      <c r="Q20" s="557"/>
    </row>
    <row r="21" spans="1:17" ht="33" x14ac:dyDescent="0.25">
      <c r="A21" s="450" t="s">
        <v>13</v>
      </c>
      <c r="B21" s="68" t="s">
        <v>417</v>
      </c>
      <c r="C21" s="450"/>
      <c r="D21" s="450"/>
      <c r="E21" s="450"/>
      <c r="F21" s="454"/>
      <c r="G21" s="452"/>
      <c r="H21" s="450" t="str">
        <f>A21</f>
        <v>II</v>
      </c>
      <c r="I21" s="22" t="str">
        <f>B21</f>
        <v>Производство и распространение телепрограмм</v>
      </c>
      <c r="J21" s="450"/>
      <c r="K21" s="451"/>
      <c r="L21" s="451"/>
      <c r="M21" s="24"/>
      <c r="N21" s="452"/>
      <c r="O21" s="158"/>
      <c r="P21" s="450"/>
      <c r="Q21" s="557"/>
    </row>
    <row r="22" spans="1:17" ht="49.5" x14ac:dyDescent="0.25">
      <c r="A22" s="66" t="s">
        <v>14</v>
      </c>
      <c r="B22" s="28" t="s">
        <v>418</v>
      </c>
      <c r="C22" s="35" t="s">
        <v>260</v>
      </c>
      <c r="D22" s="69">
        <v>1</v>
      </c>
      <c r="E22" s="69">
        <v>1</v>
      </c>
      <c r="F22" s="24">
        <f>E22/D22*100</f>
        <v>100</v>
      </c>
      <c r="G22" s="35"/>
      <c r="H22" s="35" t="s">
        <v>14</v>
      </c>
      <c r="I22" s="8" t="s">
        <v>421</v>
      </c>
      <c r="J22" s="8" t="s">
        <v>427</v>
      </c>
      <c r="K22" s="35">
        <v>1415</v>
      </c>
      <c r="L22" s="35">
        <v>1994</v>
      </c>
      <c r="M22" s="24">
        <f t="shared" si="1"/>
        <v>110</v>
      </c>
      <c r="N22" s="142"/>
      <c r="O22" s="28"/>
      <c r="P22" s="156"/>
      <c r="Q22" s="557"/>
    </row>
    <row r="23" spans="1:17" ht="49.5" x14ac:dyDescent="0.25">
      <c r="A23" s="66" t="s">
        <v>15</v>
      </c>
      <c r="B23" s="28" t="s">
        <v>419</v>
      </c>
      <c r="C23" s="35" t="s">
        <v>427</v>
      </c>
      <c r="D23" s="69">
        <v>24</v>
      </c>
      <c r="E23" s="69">
        <v>24</v>
      </c>
      <c r="F23" s="24">
        <f t="shared" ref="F23:F24" si="2">E23/D23*100</f>
        <v>100</v>
      </c>
      <c r="G23" s="35"/>
      <c r="H23" s="35"/>
      <c r="I23" s="28"/>
      <c r="J23" s="456"/>
      <c r="K23" s="32"/>
      <c r="L23" s="32"/>
      <c r="M23" s="24"/>
      <c r="N23" s="456"/>
      <c r="O23" s="156"/>
      <c r="P23" s="156"/>
      <c r="Q23" s="557"/>
    </row>
    <row r="24" spans="1:17" ht="66" x14ac:dyDescent="0.25">
      <c r="A24" s="66" t="s">
        <v>39</v>
      </c>
      <c r="B24" s="28" t="s">
        <v>420</v>
      </c>
      <c r="C24" s="35" t="s">
        <v>260</v>
      </c>
      <c r="D24" s="69">
        <v>1</v>
      </c>
      <c r="E24" s="69">
        <v>1</v>
      </c>
      <c r="F24" s="24">
        <f t="shared" si="2"/>
        <v>100</v>
      </c>
      <c r="G24" s="35"/>
      <c r="H24" s="35"/>
      <c r="I24" s="28"/>
      <c r="J24" s="456"/>
      <c r="K24" s="32"/>
      <c r="L24" s="32"/>
      <c r="M24" s="24"/>
      <c r="N24" s="456"/>
      <c r="O24" s="156"/>
      <c r="P24" s="156"/>
      <c r="Q24" s="557"/>
    </row>
    <row r="25" spans="1:17" s="155" customFormat="1" ht="34.5" x14ac:dyDescent="0.25">
      <c r="A25" s="159"/>
      <c r="B25" s="453"/>
      <c r="C25" s="21" t="s">
        <v>430</v>
      </c>
      <c r="D25" s="453"/>
      <c r="E25" s="453"/>
      <c r="F25" s="453"/>
      <c r="G25" s="7">
        <f>(F22+F23+F24)/3</f>
        <v>100</v>
      </c>
      <c r="H25" s="7"/>
      <c r="I25" s="30"/>
      <c r="J25" s="21" t="s">
        <v>430</v>
      </c>
      <c r="K25" s="30"/>
      <c r="L25" s="30"/>
      <c r="M25" s="30"/>
      <c r="N25" s="7">
        <f>M22</f>
        <v>110</v>
      </c>
      <c r="O25" s="7">
        <f>(G25+N25)/2</f>
        <v>105</v>
      </c>
      <c r="P25" s="7" t="s">
        <v>31</v>
      </c>
      <c r="Q25" s="557"/>
    </row>
  </sheetData>
  <mergeCells count="10">
    <mergeCell ref="B9:G9"/>
    <mergeCell ref="H9:N9"/>
    <mergeCell ref="O9:Q9"/>
    <mergeCell ref="Q12:Q25"/>
    <mergeCell ref="B2:Q2"/>
    <mergeCell ref="B3:Q3"/>
    <mergeCell ref="B4:Q4"/>
    <mergeCell ref="B5:Q5"/>
    <mergeCell ref="B6:Q6"/>
    <mergeCell ref="B8:Q8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45" fitToHeight="0" orientation="landscape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25"/>
  <sheetViews>
    <sheetView view="pageBreakPreview" topLeftCell="A4" zoomScale="65" zoomScaleNormal="100" zoomScaleSheetLayoutView="65" workbookViewId="0">
      <selection activeCell="F27" sqref="F27"/>
    </sheetView>
  </sheetViews>
  <sheetFormatPr defaultRowHeight="15" x14ac:dyDescent="0.25"/>
  <cols>
    <col min="1" max="1" width="9.140625" style="64"/>
    <col min="2" max="2" width="38.140625" style="65" customWidth="1"/>
    <col min="3" max="5" width="12.5703125" style="64" customWidth="1"/>
    <col min="6" max="6" width="15.42578125" style="64" customWidth="1"/>
    <col min="7" max="8" width="12.5703125" style="64" customWidth="1"/>
    <col min="9" max="9" width="44.7109375" style="65" customWidth="1"/>
    <col min="10" max="10" width="17.85546875" style="64" customWidth="1"/>
    <col min="11" max="12" width="21" style="64" customWidth="1"/>
    <col min="13" max="13" width="12.5703125" style="64" customWidth="1"/>
    <col min="14" max="14" width="18.42578125" style="64" customWidth="1"/>
    <col min="15" max="15" width="12.5703125" style="64" customWidth="1"/>
    <col min="16" max="16" width="19.7109375" style="64" customWidth="1"/>
    <col min="17" max="17" width="30" customWidth="1"/>
  </cols>
  <sheetData>
    <row r="1" spans="1:18" ht="18.75" x14ac:dyDescent="0.25">
      <c r="A1" s="1"/>
      <c r="B1" s="19"/>
      <c r="C1" s="5"/>
      <c r="D1" s="4"/>
      <c r="E1" s="4"/>
      <c r="F1" s="4"/>
      <c r="G1" s="1"/>
      <c r="H1" s="1"/>
      <c r="I1" s="19"/>
      <c r="J1" s="1"/>
      <c r="K1" s="1"/>
      <c r="L1" s="1"/>
      <c r="M1" s="1"/>
      <c r="N1" s="1"/>
      <c r="O1" s="1"/>
      <c r="P1" s="1"/>
    </row>
    <row r="2" spans="1:18" ht="20.25" x14ac:dyDescent="0.25">
      <c r="A2"/>
      <c r="B2" s="562" t="s">
        <v>0</v>
      </c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  <c r="P2" s="562"/>
      <c r="Q2" s="562"/>
      <c r="R2" s="1"/>
    </row>
    <row r="3" spans="1:18" ht="20.25" x14ac:dyDescent="0.25">
      <c r="A3"/>
      <c r="B3" s="562" t="s">
        <v>285</v>
      </c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  <c r="P3" s="562"/>
      <c r="Q3" s="562"/>
      <c r="R3" s="1"/>
    </row>
    <row r="4" spans="1:18" ht="20.25" x14ac:dyDescent="0.25">
      <c r="A4"/>
      <c r="B4" s="563" t="s">
        <v>72</v>
      </c>
      <c r="C4" s="563"/>
      <c r="D4" s="563"/>
      <c r="E4" s="563"/>
      <c r="F4" s="563"/>
      <c r="G4" s="563"/>
      <c r="H4" s="563"/>
      <c r="I4" s="563"/>
      <c r="J4" s="563"/>
      <c r="K4" s="563"/>
      <c r="L4" s="563"/>
      <c r="M4" s="563"/>
      <c r="N4" s="563"/>
      <c r="O4" s="563"/>
      <c r="P4" s="563"/>
      <c r="Q4" s="563"/>
      <c r="R4" s="1"/>
    </row>
    <row r="5" spans="1:18" ht="16.5" x14ac:dyDescent="0.25">
      <c r="A5"/>
      <c r="B5" s="560" t="s">
        <v>33</v>
      </c>
      <c r="C5" s="560"/>
      <c r="D5" s="560"/>
      <c r="E5" s="560"/>
      <c r="F5" s="560"/>
      <c r="G5" s="560"/>
      <c r="H5" s="560"/>
      <c r="I5" s="560"/>
      <c r="J5" s="560"/>
      <c r="K5" s="560"/>
      <c r="L5" s="560"/>
      <c r="M5" s="560"/>
      <c r="N5" s="560"/>
      <c r="O5" s="560"/>
      <c r="P5" s="560"/>
      <c r="Q5" s="560"/>
      <c r="R5" s="56"/>
    </row>
    <row r="6" spans="1:18" ht="20.25" x14ac:dyDescent="0.25">
      <c r="A6"/>
      <c r="B6" s="562" t="s">
        <v>596</v>
      </c>
      <c r="C6" s="562"/>
      <c r="D6" s="562"/>
      <c r="E6" s="562"/>
      <c r="F6" s="562"/>
      <c r="G6" s="562"/>
      <c r="H6" s="562"/>
      <c r="I6" s="562"/>
      <c r="J6" s="562"/>
      <c r="K6" s="562"/>
      <c r="L6" s="562"/>
      <c r="M6" s="562"/>
      <c r="N6" s="562"/>
      <c r="O6" s="562"/>
      <c r="P6" s="562"/>
      <c r="Q6" s="562"/>
      <c r="R6" s="1"/>
    </row>
    <row r="7" spans="1:18" ht="16.5" x14ac:dyDescent="0.25">
      <c r="A7" s="429"/>
      <c r="B7" s="20"/>
      <c r="C7" s="429"/>
      <c r="D7" s="429"/>
      <c r="E7" s="429"/>
      <c r="F7" s="429"/>
      <c r="G7" s="429"/>
      <c r="H7" s="429"/>
      <c r="I7" s="20"/>
      <c r="J7" s="429"/>
      <c r="K7" s="429"/>
      <c r="L7" s="429"/>
      <c r="M7" s="429"/>
      <c r="N7" s="429"/>
      <c r="O7" s="429"/>
      <c r="P7" s="1"/>
    </row>
    <row r="8" spans="1:18" ht="16.5" customHeight="1" x14ac:dyDescent="0.25">
      <c r="A8" s="430"/>
      <c r="B8" s="564" t="s">
        <v>2</v>
      </c>
      <c r="C8" s="565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  <c r="O8" s="565"/>
      <c r="P8" s="565"/>
      <c r="Q8" s="565"/>
    </row>
    <row r="9" spans="1:18" ht="16.5" customHeight="1" x14ac:dyDescent="0.25">
      <c r="A9" s="430"/>
      <c r="B9" s="553" t="s">
        <v>70</v>
      </c>
      <c r="C9" s="553"/>
      <c r="D9" s="553"/>
      <c r="E9" s="553"/>
      <c r="F9" s="553"/>
      <c r="G9" s="553"/>
      <c r="H9" s="553" t="s">
        <v>71</v>
      </c>
      <c r="I9" s="561"/>
      <c r="J9" s="561"/>
      <c r="K9" s="561"/>
      <c r="L9" s="561"/>
      <c r="M9" s="561"/>
      <c r="N9" s="561"/>
      <c r="O9" s="553" t="s">
        <v>24</v>
      </c>
      <c r="P9" s="553"/>
      <c r="Q9" s="555"/>
    </row>
    <row r="10" spans="1:18" ht="66" x14ac:dyDescent="0.25">
      <c r="A10" s="433" t="s">
        <v>1</v>
      </c>
      <c r="B10" s="42" t="s">
        <v>5</v>
      </c>
      <c r="C10" s="43" t="s">
        <v>11</v>
      </c>
      <c r="D10" s="44" t="s">
        <v>16</v>
      </c>
      <c r="E10" s="44" t="s">
        <v>17</v>
      </c>
      <c r="F10" s="44" t="s">
        <v>18</v>
      </c>
      <c r="G10" s="44" t="s">
        <v>19</v>
      </c>
      <c r="H10" s="433" t="s">
        <v>1</v>
      </c>
      <c r="I10" s="42" t="s">
        <v>5</v>
      </c>
      <c r="J10" s="43" t="s">
        <v>11</v>
      </c>
      <c r="K10" s="44" t="s">
        <v>20</v>
      </c>
      <c r="L10" s="44" t="s">
        <v>21</v>
      </c>
      <c r="M10" s="44" t="s">
        <v>23</v>
      </c>
      <c r="N10" s="44" t="s">
        <v>22</v>
      </c>
      <c r="O10" s="27" t="s">
        <v>62</v>
      </c>
      <c r="P10" s="430" t="s">
        <v>422</v>
      </c>
      <c r="Q10" s="430" t="s">
        <v>423</v>
      </c>
    </row>
    <row r="11" spans="1:18" s="54" customFormat="1" ht="12.75" customHeight="1" x14ac:dyDescent="0.25">
      <c r="A11" s="53">
        <v>1</v>
      </c>
      <c r="B11" s="36">
        <v>2</v>
      </c>
      <c r="C11" s="46">
        <v>3</v>
      </c>
      <c r="D11" s="48">
        <v>4</v>
      </c>
      <c r="E11" s="48">
        <v>5</v>
      </c>
      <c r="F11" s="48">
        <v>6</v>
      </c>
      <c r="G11" s="46">
        <v>7</v>
      </c>
      <c r="H11" s="48">
        <v>8</v>
      </c>
      <c r="I11" s="48">
        <v>9</v>
      </c>
      <c r="J11" s="46">
        <v>10</v>
      </c>
      <c r="K11" s="48">
        <v>11</v>
      </c>
      <c r="L11" s="48">
        <v>12</v>
      </c>
      <c r="M11" s="46">
        <v>13</v>
      </c>
      <c r="N11" s="48">
        <v>14</v>
      </c>
      <c r="O11" s="48">
        <v>15</v>
      </c>
      <c r="P11" s="48">
        <v>16</v>
      </c>
      <c r="Q11" s="48">
        <v>17</v>
      </c>
    </row>
    <row r="12" spans="1:18" ht="162.75" customHeight="1" x14ac:dyDescent="0.25">
      <c r="A12" s="430" t="s">
        <v>12</v>
      </c>
      <c r="B12" s="3" t="s">
        <v>462</v>
      </c>
      <c r="C12" s="430"/>
      <c r="D12" s="430"/>
      <c r="E12" s="430"/>
      <c r="F12" s="435"/>
      <c r="G12" s="6"/>
      <c r="H12" s="430" t="str">
        <f>A12</f>
        <v>I</v>
      </c>
      <c r="I12" s="3" t="str">
        <f>B12</f>
        <v>Организация и осуществление транспортного обслуживания должностных лиц, государственных органов и государственных учреждений Красноярского края, органов местного самоуправления и муниципальных учреждений Красноярского края, избирательных комиссий</v>
      </c>
      <c r="J12" s="35"/>
      <c r="K12" s="9"/>
      <c r="L12" s="9"/>
      <c r="M12" s="435"/>
      <c r="N12" s="60"/>
      <c r="O12" s="60"/>
      <c r="P12" s="430"/>
      <c r="Q12" s="556" t="s">
        <v>279</v>
      </c>
    </row>
    <row r="13" spans="1:18" ht="56.25" customHeight="1" x14ac:dyDescent="0.25">
      <c r="A13" s="35" t="s">
        <v>7</v>
      </c>
      <c r="B13" s="2" t="s">
        <v>259</v>
      </c>
      <c r="C13" s="35" t="s">
        <v>25</v>
      </c>
      <c r="D13" s="208">
        <v>100</v>
      </c>
      <c r="E13" s="35">
        <v>108.2</v>
      </c>
      <c r="F13" s="24">
        <f>IF(E13/D13*100&gt;100,100,E13/D13*100)</f>
        <v>100</v>
      </c>
      <c r="G13" s="35"/>
      <c r="H13" s="35" t="s">
        <v>7</v>
      </c>
      <c r="I13" s="2" t="s">
        <v>261</v>
      </c>
      <c r="J13" s="35" t="s">
        <v>252</v>
      </c>
      <c r="K13" s="11">
        <v>265054.75</v>
      </c>
      <c r="L13" s="11">
        <v>286717.5</v>
      </c>
      <c r="M13" s="24">
        <f>IF(L13/K13*100&gt;110,110,L13/K13*100)</f>
        <v>108.17293408248673</v>
      </c>
      <c r="N13" s="67"/>
      <c r="O13" s="437"/>
      <c r="P13" s="10"/>
      <c r="Q13" s="557"/>
    </row>
    <row r="14" spans="1:18" ht="74.25" customHeight="1" x14ac:dyDescent="0.25">
      <c r="A14" s="35" t="s">
        <v>8</v>
      </c>
      <c r="B14" s="2" t="s">
        <v>26</v>
      </c>
      <c r="C14" s="35" t="s">
        <v>428</v>
      </c>
      <c r="D14" s="35">
        <v>0</v>
      </c>
      <c r="E14" s="35">
        <v>0</v>
      </c>
      <c r="F14" s="24">
        <v>100</v>
      </c>
      <c r="G14" s="35"/>
      <c r="H14" s="35"/>
      <c r="I14" s="436"/>
      <c r="J14" s="35"/>
      <c r="K14" s="12"/>
      <c r="L14" s="12"/>
      <c r="M14" s="24"/>
      <c r="N14" s="67"/>
      <c r="O14" s="437"/>
      <c r="P14" s="10"/>
      <c r="Q14" s="557"/>
    </row>
    <row r="15" spans="1:18" ht="38.25" customHeight="1" x14ac:dyDescent="0.25">
      <c r="A15" s="434"/>
      <c r="B15" s="21" t="s">
        <v>6</v>
      </c>
      <c r="C15" s="434"/>
      <c r="D15" s="434"/>
      <c r="E15" s="434"/>
      <c r="F15" s="7"/>
      <c r="G15" s="7">
        <f>(F13+F14)/2</f>
        <v>100</v>
      </c>
      <c r="H15" s="30"/>
      <c r="I15" s="21" t="s">
        <v>6</v>
      </c>
      <c r="J15" s="30"/>
      <c r="K15" s="30"/>
      <c r="L15" s="30"/>
      <c r="M15" s="7"/>
      <c r="N15" s="7">
        <f>M13</f>
        <v>108.17293408248673</v>
      </c>
      <c r="O15" s="7">
        <f>(G15+N15)/2</f>
        <v>104.08646704124337</v>
      </c>
      <c r="P15" s="434" t="s">
        <v>31</v>
      </c>
      <c r="Q15" s="557"/>
    </row>
    <row r="16" spans="1:18" ht="61.5" customHeight="1" x14ac:dyDescent="0.25">
      <c r="A16" s="430" t="s">
        <v>13</v>
      </c>
      <c r="B16" s="3" t="s">
        <v>345</v>
      </c>
      <c r="C16" s="430"/>
      <c r="D16" s="430"/>
      <c r="E16" s="430"/>
      <c r="F16" s="435"/>
      <c r="G16" s="6"/>
      <c r="H16" s="430" t="s">
        <v>13</v>
      </c>
      <c r="I16" s="3" t="str">
        <f>B16</f>
        <v>Уборка территории и аналогичная деятельность</v>
      </c>
      <c r="J16" s="35"/>
      <c r="K16" s="11"/>
      <c r="L16" s="11"/>
      <c r="M16" s="435"/>
      <c r="N16" s="60"/>
      <c r="O16" s="60"/>
      <c r="P16" s="430"/>
      <c r="Q16" s="557"/>
    </row>
    <row r="17" spans="1:17" ht="53.25" customHeight="1" x14ac:dyDescent="0.25">
      <c r="A17" s="35" t="s">
        <v>14</v>
      </c>
      <c r="B17" s="2" t="s">
        <v>262</v>
      </c>
      <c r="C17" s="35" t="s">
        <v>25</v>
      </c>
      <c r="D17" s="35" t="s">
        <v>346</v>
      </c>
      <c r="E17" s="35">
        <v>75.400000000000006</v>
      </c>
      <c r="F17" s="24">
        <v>100</v>
      </c>
      <c r="G17" s="35"/>
      <c r="H17" s="35" t="s">
        <v>14</v>
      </c>
      <c r="I17" s="2" t="s">
        <v>264</v>
      </c>
      <c r="J17" s="35" t="s">
        <v>265</v>
      </c>
      <c r="K17" s="11">
        <v>9831445.4000000004</v>
      </c>
      <c r="L17" s="11">
        <v>10589110.470000001</v>
      </c>
      <c r="M17" s="24">
        <f>IF(L17/K17*100&gt;110,110,L17/K17*100)</f>
        <v>107.70654811346458</v>
      </c>
      <c r="N17" s="67"/>
      <c r="O17" s="437"/>
      <c r="P17" s="10"/>
      <c r="Q17" s="557"/>
    </row>
    <row r="18" spans="1:17" ht="72" customHeight="1" x14ac:dyDescent="0.25">
      <c r="A18" s="35" t="s">
        <v>15</v>
      </c>
      <c r="B18" s="2" t="s">
        <v>263</v>
      </c>
      <c r="C18" s="8" t="s">
        <v>25</v>
      </c>
      <c r="D18" s="35" t="s">
        <v>347</v>
      </c>
      <c r="E18" s="35">
        <v>40.299999999999997</v>
      </c>
      <c r="F18" s="24">
        <v>100</v>
      </c>
      <c r="G18" s="35"/>
      <c r="H18" s="35"/>
      <c r="I18" s="2"/>
      <c r="J18" s="35"/>
      <c r="K18" s="11"/>
      <c r="L18" s="11"/>
      <c r="M18" s="24"/>
      <c r="N18" s="67"/>
      <c r="O18" s="437"/>
      <c r="P18" s="10"/>
      <c r="Q18" s="557"/>
    </row>
    <row r="19" spans="1:17" ht="83.25" customHeight="1" x14ac:dyDescent="0.25">
      <c r="A19" s="431" t="s">
        <v>27</v>
      </c>
      <c r="B19" s="432" t="s">
        <v>26</v>
      </c>
      <c r="C19" s="431" t="s">
        <v>260</v>
      </c>
      <c r="D19" s="431">
        <v>0</v>
      </c>
      <c r="E19" s="431">
        <v>0</v>
      </c>
      <c r="F19" s="24">
        <v>100</v>
      </c>
      <c r="G19" s="35"/>
      <c r="H19" s="35"/>
      <c r="I19" s="436"/>
      <c r="J19" s="437"/>
      <c r="K19" s="12"/>
      <c r="L19" s="12"/>
      <c r="M19" s="24"/>
      <c r="N19" s="67"/>
      <c r="O19" s="437"/>
      <c r="P19" s="10"/>
      <c r="Q19" s="557"/>
    </row>
    <row r="20" spans="1:17" ht="38.25" customHeight="1" x14ac:dyDescent="0.25">
      <c r="A20" s="428"/>
      <c r="B20" s="21" t="s">
        <v>6</v>
      </c>
      <c r="C20" s="434"/>
      <c r="D20" s="434"/>
      <c r="E20" s="434"/>
      <c r="F20" s="7"/>
      <c r="G20" s="7">
        <f>(F17+F18+F19)/3</f>
        <v>100</v>
      </c>
      <c r="H20" s="30"/>
      <c r="I20" s="21" t="s">
        <v>6</v>
      </c>
      <c r="J20" s="30"/>
      <c r="K20" s="30"/>
      <c r="L20" s="30"/>
      <c r="M20" s="7"/>
      <c r="N20" s="7">
        <f>M17</f>
        <v>107.70654811346458</v>
      </c>
      <c r="O20" s="7">
        <f>(G20+N20)/2</f>
        <v>103.85327405673229</v>
      </c>
      <c r="P20" s="548" t="s">
        <v>31</v>
      </c>
      <c r="Q20" s="557"/>
    </row>
    <row r="21" spans="1:17" ht="16.5" x14ac:dyDescent="0.25">
      <c r="A21" s="61"/>
      <c r="B21" s="62"/>
      <c r="C21" s="61"/>
      <c r="D21" s="61"/>
      <c r="E21" s="61"/>
      <c r="F21" s="61"/>
      <c r="G21" s="61"/>
      <c r="H21" s="61"/>
      <c r="I21" s="62"/>
      <c r="J21" s="61"/>
      <c r="K21" s="61"/>
      <c r="L21" s="61"/>
      <c r="M21" s="63"/>
      <c r="N21" s="61"/>
      <c r="O21" s="61"/>
      <c r="P21" s="61"/>
      <c r="Q21" s="163"/>
    </row>
    <row r="22" spans="1:17" ht="16.5" x14ac:dyDescent="0.25">
      <c r="A22" s="61"/>
      <c r="B22" s="62"/>
      <c r="C22" s="61"/>
      <c r="D22" s="61"/>
      <c r="E22" s="61"/>
      <c r="F22" s="61"/>
      <c r="G22" s="61"/>
      <c r="H22" s="61"/>
      <c r="I22" s="62"/>
      <c r="J22" s="61"/>
      <c r="K22" s="61"/>
      <c r="L22" s="61"/>
      <c r="M22" s="61"/>
      <c r="N22" s="61"/>
      <c r="O22" s="61"/>
      <c r="P22" s="61"/>
      <c r="Q22" s="163"/>
    </row>
    <row r="23" spans="1:17" ht="16.5" x14ac:dyDescent="0.25">
      <c r="A23" s="61"/>
      <c r="B23" s="62"/>
      <c r="C23" s="61"/>
      <c r="D23" s="61"/>
      <c r="E23" s="61"/>
      <c r="F23" s="61"/>
      <c r="G23" s="61"/>
      <c r="H23" s="61"/>
      <c r="I23" s="62"/>
      <c r="J23" s="61"/>
      <c r="K23" s="61"/>
      <c r="L23" s="61"/>
      <c r="M23" s="61"/>
      <c r="N23" s="61"/>
      <c r="O23" s="61"/>
      <c r="P23" s="61"/>
      <c r="Q23" s="163"/>
    </row>
    <row r="24" spans="1:17" ht="16.5" x14ac:dyDescent="0.25">
      <c r="A24" s="61"/>
      <c r="B24" s="62"/>
      <c r="C24" s="61"/>
      <c r="D24" s="61"/>
      <c r="E24" s="61"/>
      <c r="F24" s="61"/>
      <c r="G24" s="61"/>
      <c r="H24" s="61"/>
      <c r="I24" s="62"/>
      <c r="J24" s="61"/>
      <c r="K24" s="61"/>
      <c r="L24" s="61"/>
      <c r="M24" s="61"/>
      <c r="N24" s="61"/>
      <c r="O24" s="61"/>
      <c r="P24" s="61"/>
      <c r="Q24" s="73"/>
    </row>
    <row r="25" spans="1:17" x14ac:dyDescent="0.25">
      <c r="A25" s="61"/>
      <c r="B25" s="62"/>
      <c r="C25" s="61"/>
      <c r="D25" s="61"/>
      <c r="E25" s="61"/>
      <c r="F25" s="61"/>
      <c r="G25" s="61"/>
      <c r="H25" s="61"/>
      <c r="I25" s="62"/>
      <c r="J25" s="61"/>
      <c r="K25" s="61"/>
      <c r="L25" s="61"/>
      <c r="M25" s="61"/>
      <c r="N25" s="61"/>
      <c r="O25" s="61"/>
      <c r="P25" s="61"/>
      <c r="Q25" s="55"/>
    </row>
  </sheetData>
  <mergeCells count="10">
    <mergeCell ref="B9:G9"/>
    <mergeCell ref="H9:N9"/>
    <mergeCell ref="O9:Q9"/>
    <mergeCell ref="Q12:Q20"/>
    <mergeCell ref="B2:Q2"/>
    <mergeCell ref="B3:Q3"/>
    <mergeCell ref="B4:Q4"/>
    <mergeCell ref="B5:Q5"/>
    <mergeCell ref="B6:Q6"/>
    <mergeCell ref="B8:Q8"/>
  </mergeCells>
  <printOptions horizontalCentered="1"/>
  <pageMargins left="0.11811023622047245" right="0.31496062992125984" top="0.35433070866141736" bottom="0.15748031496062992" header="0.31496062992125984" footer="0.31496062992125984"/>
  <pageSetup paperSize="9" scale="44" fitToHeight="0" orientation="landscape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W43"/>
  <sheetViews>
    <sheetView view="pageBreakPreview" topLeftCell="A19" zoomScale="60" zoomScaleNormal="57" workbookViewId="0">
      <selection activeCell="P29" sqref="P29"/>
    </sheetView>
  </sheetViews>
  <sheetFormatPr defaultRowHeight="16.5" x14ac:dyDescent="0.25"/>
  <cols>
    <col min="1" max="1" width="10.42578125" style="496" bestFit="1" customWidth="1"/>
    <col min="2" max="2" width="38.140625" style="497" customWidth="1"/>
    <col min="3" max="3" width="18.85546875" style="496" customWidth="1"/>
    <col min="4" max="7" width="12.140625" style="496" customWidth="1"/>
    <col min="8" max="8" width="12.5703125" style="496" customWidth="1"/>
    <col min="9" max="9" width="40.7109375" style="497" customWidth="1"/>
    <col min="10" max="10" width="16.5703125" style="496" customWidth="1"/>
    <col min="11" max="12" width="14.5703125" style="496" customWidth="1"/>
    <col min="13" max="13" width="12.5703125" style="496" customWidth="1"/>
    <col min="14" max="14" width="14.85546875" style="496" customWidth="1"/>
    <col min="15" max="15" width="17.85546875" style="496" customWidth="1"/>
    <col min="16" max="16" width="33.5703125" style="496" customWidth="1"/>
    <col min="17" max="17" width="32.28515625" style="464" customWidth="1"/>
    <col min="18" max="256" width="9.140625" style="464"/>
    <col min="257" max="257" width="10.42578125" style="464" bestFit="1" customWidth="1"/>
    <col min="258" max="258" width="38.140625" style="464" customWidth="1"/>
    <col min="259" max="259" width="18.85546875" style="464" customWidth="1"/>
    <col min="260" max="263" width="12.140625" style="464" customWidth="1"/>
    <col min="264" max="264" width="12.5703125" style="464" customWidth="1"/>
    <col min="265" max="265" width="40.7109375" style="464" customWidth="1"/>
    <col min="266" max="266" width="16.5703125" style="464" customWidth="1"/>
    <col min="267" max="268" width="14.5703125" style="464" customWidth="1"/>
    <col min="269" max="269" width="12.5703125" style="464" customWidth="1"/>
    <col min="270" max="270" width="14.85546875" style="464" customWidth="1"/>
    <col min="271" max="271" width="17.85546875" style="464" customWidth="1"/>
    <col min="272" max="272" width="33.5703125" style="464" customWidth="1"/>
    <col min="273" max="273" width="32.28515625" style="464" customWidth="1"/>
    <col min="274" max="512" width="9.140625" style="464"/>
    <col min="513" max="513" width="10.42578125" style="464" bestFit="1" customWidth="1"/>
    <col min="514" max="514" width="38.140625" style="464" customWidth="1"/>
    <col min="515" max="515" width="18.85546875" style="464" customWidth="1"/>
    <col min="516" max="519" width="12.140625" style="464" customWidth="1"/>
    <col min="520" max="520" width="12.5703125" style="464" customWidth="1"/>
    <col min="521" max="521" width="40.7109375" style="464" customWidth="1"/>
    <col min="522" max="522" width="16.5703125" style="464" customWidth="1"/>
    <col min="523" max="524" width="14.5703125" style="464" customWidth="1"/>
    <col min="525" max="525" width="12.5703125" style="464" customWidth="1"/>
    <col min="526" max="526" width="14.85546875" style="464" customWidth="1"/>
    <col min="527" max="527" width="17.85546875" style="464" customWidth="1"/>
    <col min="528" max="528" width="33.5703125" style="464" customWidth="1"/>
    <col min="529" max="529" width="32.28515625" style="464" customWidth="1"/>
    <col min="530" max="768" width="9.140625" style="464"/>
    <col min="769" max="769" width="10.42578125" style="464" bestFit="1" customWidth="1"/>
    <col min="770" max="770" width="38.140625" style="464" customWidth="1"/>
    <col min="771" max="771" width="18.85546875" style="464" customWidth="1"/>
    <col min="772" max="775" width="12.140625" style="464" customWidth="1"/>
    <col min="776" max="776" width="12.5703125" style="464" customWidth="1"/>
    <col min="777" max="777" width="40.7109375" style="464" customWidth="1"/>
    <col min="778" max="778" width="16.5703125" style="464" customWidth="1"/>
    <col min="779" max="780" width="14.5703125" style="464" customWidth="1"/>
    <col min="781" max="781" width="12.5703125" style="464" customWidth="1"/>
    <col min="782" max="782" width="14.85546875" style="464" customWidth="1"/>
    <col min="783" max="783" width="17.85546875" style="464" customWidth="1"/>
    <col min="784" max="784" width="33.5703125" style="464" customWidth="1"/>
    <col min="785" max="785" width="32.28515625" style="464" customWidth="1"/>
    <col min="786" max="1024" width="9.140625" style="464"/>
    <col min="1025" max="1025" width="10.42578125" style="464" bestFit="1" customWidth="1"/>
    <col min="1026" max="1026" width="38.140625" style="464" customWidth="1"/>
    <col min="1027" max="1027" width="18.85546875" style="464" customWidth="1"/>
    <col min="1028" max="1031" width="12.140625" style="464" customWidth="1"/>
    <col min="1032" max="1032" width="12.5703125" style="464" customWidth="1"/>
    <col min="1033" max="1033" width="40.7109375" style="464" customWidth="1"/>
    <col min="1034" max="1034" width="16.5703125" style="464" customWidth="1"/>
    <col min="1035" max="1036" width="14.5703125" style="464" customWidth="1"/>
    <col min="1037" max="1037" width="12.5703125" style="464" customWidth="1"/>
    <col min="1038" max="1038" width="14.85546875" style="464" customWidth="1"/>
    <col min="1039" max="1039" width="17.85546875" style="464" customWidth="1"/>
    <col min="1040" max="1040" width="33.5703125" style="464" customWidth="1"/>
    <col min="1041" max="1041" width="32.28515625" style="464" customWidth="1"/>
    <col min="1042" max="1280" width="9.140625" style="464"/>
    <col min="1281" max="1281" width="10.42578125" style="464" bestFit="1" customWidth="1"/>
    <col min="1282" max="1282" width="38.140625" style="464" customWidth="1"/>
    <col min="1283" max="1283" width="18.85546875" style="464" customWidth="1"/>
    <col min="1284" max="1287" width="12.140625" style="464" customWidth="1"/>
    <col min="1288" max="1288" width="12.5703125" style="464" customWidth="1"/>
    <col min="1289" max="1289" width="40.7109375" style="464" customWidth="1"/>
    <col min="1290" max="1290" width="16.5703125" style="464" customWidth="1"/>
    <col min="1291" max="1292" width="14.5703125" style="464" customWidth="1"/>
    <col min="1293" max="1293" width="12.5703125" style="464" customWidth="1"/>
    <col min="1294" max="1294" width="14.85546875" style="464" customWidth="1"/>
    <col min="1295" max="1295" width="17.85546875" style="464" customWidth="1"/>
    <col min="1296" max="1296" width="33.5703125" style="464" customWidth="1"/>
    <col min="1297" max="1297" width="32.28515625" style="464" customWidth="1"/>
    <col min="1298" max="1536" width="9.140625" style="464"/>
    <col min="1537" max="1537" width="10.42578125" style="464" bestFit="1" customWidth="1"/>
    <col min="1538" max="1538" width="38.140625" style="464" customWidth="1"/>
    <col min="1539" max="1539" width="18.85546875" style="464" customWidth="1"/>
    <col min="1540" max="1543" width="12.140625" style="464" customWidth="1"/>
    <col min="1544" max="1544" width="12.5703125" style="464" customWidth="1"/>
    <col min="1545" max="1545" width="40.7109375" style="464" customWidth="1"/>
    <col min="1546" max="1546" width="16.5703125" style="464" customWidth="1"/>
    <col min="1547" max="1548" width="14.5703125" style="464" customWidth="1"/>
    <col min="1549" max="1549" width="12.5703125" style="464" customWidth="1"/>
    <col min="1550" max="1550" width="14.85546875" style="464" customWidth="1"/>
    <col min="1551" max="1551" width="17.85546875" style="464" customWidth="1"/>
    <col min="1552" max="1552" width="33.5703125" style="464" customWidth="1"/>
    <col min="1553" max="1553" width="32.28515625" style="464" customWidth="1"/>
    <col min="1554" max="1792" width="9.140625" style="464"/>
    <col min="1793" max="1793" width="10.42578125" style="464" bestFit="1" customWidth="1"/>
    <col min="1794" max="1794" width="38.140625" style="464" customWidth="1"/>
    <col min="1795" max="1795" width="18.85546875" style="464" customWidth="1"/>
    <col min="1796" max="1799" width="12.140625" style="464" customWidth="1"/>
    <col min="1800" max="1800" width="12.5703125" style="464" customWidth="1"/>
    <col min="1801" max="1801" width="40.7109375" style="464" customWidth="1"/>
    <col min="1802" max="1802" width="16.5703125" style="464" customWidth="1"/>
    <col min="1803" max="1804" width="14.5703125" style="464" customWidth="1"/>
    <col min="1805" max="1805" width="12.5703125" style="464" customWidth="1"/>
    <col min="1806" max="1806" width="14.85546875" style="464" customWidth="1"/>
    <col min="1807" max="1807" width="17.85546875" style="464" customWidth="1"/>
    <col min="1808" max="1808" width="33.5703125" style="464" customWidth="1"/>
    <col min="1809" max="1809" width="32.28515625" style="464" customWidth="1"/>
    <col min="1810" max="2048" width="9.140625" style="464"/>
    <col min="2049" max="2049" width="10.42578125" style="464" bestFit="1" customWidth="1"/>
    <col min="2050" max="2050" width="38.140625" style="464" customWidth="1"/>
    <col min="2051" max="2051" width="18.85546875" style="464" customWidth="1"/>
    <col min="2052" max="2055" width="12.140625" style="464" customWidth="1"/>
    <col min="2056" max="2056" width="12.5703125" style="464" customWidth="1"/>
    <col min="2057" max="2057" width="40.7109375" style="464" customWidth="1"/>
    <col min="2058" max="2058" width="16.5703125" style="464" customWidth="1"/>
    <col min="2059" max="2060" width="14.5703125" style="464" customWidth="1"/>
    <col min="2061" max="2061" width="12.5703125" style="464" customWidth="1"/>
    <col min="2062" max="2062" width="14.85546875" style="464" customWidth="1"/>
    <col min="2063" max="2063" width="17.85546875" style="464" customWidth="1"/>
    <col min="2064" max="2064" width="33.5703125" style="464" customWidth="1"/>
    <col min="2065" max="2065" width="32.28515625" style="464" customWidth="1"/>
    <col min="2066" max="2304" width="9.140625" style="464"/>
    <col min="2305" max="2305" width="10.42578125" style="464" bestFit="1" customWidth="1"/>
    <col min="2306" max="2306" width="38.140625" style="464" customWidth="1"/>
    <col min="2307" max="2307" width="18.85546875" style="464" customWidth="1"/>
    <col min="2308" max="2311" width="12.140625" style="464" customWidth="1"/>
    <col min="2312" max="2312" width="12.5703125" style="464" customWidth="1"/>
    <col min="2313" max="2313" width="40.7109375" style="464" customWidth="1"/>
    <col min="2314" max="2314" width="16.5703125" style="464" customWidth="1"/>
    <col min="2315" max="2316" width="14.5703125" style="464" customWidth="1"/>
    <col min="2317" max="2317" width="12.5703125" style="464" customWidth="1"/>
    <col min="2318" max="2318" width="14.85546875" style="464" customWidth="1"/>
    <col min="2319" max="2319" width="17.85546875" style="464" customWidth="1"/>
    <col min="2320" max="2320" width="33.5703125" style="464" customWidth="1"/>
    <col min="2321" max="2321" width="32.28515625" style="464" customWidth="1"/>
    <col min="2322" max="2560" width="9.140625" style="464"/>
    <col min="2561" max="2561" width="10.42578125" style="464" bestFit="1" customWidth="1"/>
    <col min="2562" max="2562" width="38.140625" style="464" customWidth="1"/>
    <col min="2563" max="2563" width="18.85546875" style="464" customWidth="1"/>
    <col min="2564" max="2567" width="12.140625" style="464" customWidth="1"/>
    <col min="2568" max="2568" width="12.5703125" style="464" customWidth="1"/>
    <col min="2569" max="2569" width="40.7109375" style="464" customWidth="1"/>
    <col min="2570" max="2570" width="16.5703125" style="464" customWidth="1"/>
    <col min="2571" max="2572" width="14.5703125" style="464" customWidth="1"/>
    <col min="2573" max="2573" width="12.5703125" style="464" customWidth="1"/>
    <col min="2574" max="2574" width="14.85546875" style="464" customWidth="1"/>
    <col min="2575" max="2575" width="17.85546875" style="464" customWidth="1"/>
    <col min="2576" max="2576" width="33.5703125" style="464" customWidth="1"/>
    <col min="2577" max="2577" width="32.28515625" style="464" customWidth="1"/>
    <col min="2578" max="2816" width="9.140625" style="464"/>
    <col min="2817" max="2817" width="10.42578125" style="464" bestFit="1" customWidth="1"/>
    <col min="2818" max="2818" width="38.140625" style="464" customWidth="1"/>
    <col min="2819" max="2819" width="18.85546875" style="464" customWidth="1"/>
    <col min="2820" max="2823" width="12.140625" style="464" customWidth="1"/>
    <col min="2824" max="2824" width="12.5703125" style="464" customWidth="1"/>
    <col min="2825" max="2825" width="40.7109375" style="464" customWidth="1"/>
    <col min="2826" max="2826" width="16.5703125" style="464" customWidth="1"/>
    <col min="2827" max="2828" width="14.5703125" style="464" customWidth="1"/>
    <col min="2829" max="2829" width="12.5703125" style="464" customWidth="1"/>
    <col min="2830" max="2830" width="14.85546875" style="464" customWidth="1"/>
    <col min="2831" max="2831" width="17.85546875" style="464" customWidth="1"/>
    <col min="2832" max="2832" width="33.5703125" style="464" customWidth="1"/>
    <col min="2833" max="2833" width="32.28515625" style="464" customWidth="1"/>
    <col min="2834" max="3072" width="9.140625" style="464"/>
    <col min="3073" max="3073" width="10.42578125" style="464" bestFit="1" customWidth="1"/>
    <col min="3074" max="3074" width="38.140625" style="464" customWidth="1"/>
    <col min="3075" max="3075" width="18.85546875" style="464" customWidth="1"/>
    <col min="3076" max="3079" width="12.140625" style="464" customWidth="1"/>
    <col min="3080" max="3080" width="12.5703125" style="464" customWidth="1"/>
    <col min="3081" max="3081" width="40.7109375" style="464" customWidth="1"/>
    <col min="3082" max="3082" width="16.5703125" style="464" customWidth="1"/>
    <col min="3083" max="3084" width="14.5703125" style="464" customWidth="1"/>
    <col min="3085" max="3085" width="12.5703125" style="464" customWidth="1"/>
    <col min="3086" max="3086" width="14.85546875" style="464" customWidth="1"/>
    <col min="3087" max="3087" width="17.85546875" style="464" customWidth="1"/>
    <col min="3088" max="3088" width="33.5703125" style="464" customWidth="1"/>
    <col min="3089" max="3089" width="32.28515625" style="464" customWidth="1"/>
    <col min="3090" max="3328" width="9.140625" style="464"/>
    <col min="3329" max="3329" width="10.42578125" style="464" bestFit="1" customWidth="1"/>
    <col min="3330" max="3330" width="38.140625" style="464" customWidth="1"/>
    <col min="3331" max="3331" width="18.85546875" style="464" customWidth="1"/>
    <col min="3332" max="3335" width="12.140625" style="464" customWidth="1"/>
    <col min="3336" max="3336" width="12.5703125" style="464" customWidth="1"/>
    <col min="3337" max="3337" width="40.7109375" style="464" customWidth="1"/>
    <col min="3338" max="3338" width="16.5703125" style="464" customWidth="1"/>
    <col min="3339" max="3340" width="14.5703125" style="464" customWidth="1"/>
    <col min="3341" max="3341" width="12.5703125" style="464" customWidth="1"/>
    <col min="3342" max="3342" width="14.85546875" style="464" customWidth="1"/>
    <col min="3343" max="3343" width="17.85546875" style="464" customWidth="1"/>
    <col min="3344" max="3344" width="33.5703125" style="464" customWidth="1"/>
    <col min="3345" max="3345" width="32.28515625" style="464" customWidth="1"/>
    <col min="3346" max="3584" width="9.140625" style="464"/>
    <col min="3585" max="3585" width="10.42578125" style="464" bestFit="1" customWidth="1"/>
    <col min="3586" max="3586" width="38.140625" style="464" customWidth="1"/>
    <col min="3587" max="3587" width="18.85546875" style="464" customWidth="1"/>
    <col min="3588" max="3591" width="12.140625" style="464" customWidth="1"/>
    <col min="3592" max="3592" width="12.5703125" style="464" customWidth="1"/>
    <col min="3593" max="3593" width="40.7109375" style="464" customWidth="1"/>
    <col min="3594" max="3594" width="16.5703125" style="464" customWidth="1"/>
    <col min="3595" max="3596" width="14.5703125" style="464" customWidth="1"/>
    <col min="3597" max="3597" width="12.5703125" style="464" customWidth="1"/>
    <col min="3598" max="3598" width="14.85546875" style="464" customWidth="1"/>
    <col min="3599" max="3599" width="17.85546875" style="464" customWidth="1"/>
    <col min="3600" max="3600" width="33.5703125" style="464" customWidth="1"/>
    <col min="3601" max="3601" width="32.28515625" style="464" customWidth="1"/>
    <col min="3602" max="3840" width="9.140625" style="464"/>
    <col min="3841" max="3841" width="10.42578125" style="464" bestFit="1" customWidth="1"/>
    <col min="3842" max="3842" width="38.140625" style="464" customWidth="1"/>
    <col min="3843" max="3843" width="18.85546875" style="464" customWidth="1"/>
    <col min="3844" max="3847" width="12.140625" style="464" customWidth="1"/>
    <col min="3848" max="3848" width="12.5703125" style="464" customWidth="1"/>
    <col min="3849" max="3849" width="40.7109375" style="464" customWidth="1"/>
    <col min="3850" max="3850" width="16.5703125" style="464" customWidth="1"/>
    <col min="3851" max="3852" width="14.5703125" style="464" customWidth="1"/>
    <col min="3853" max="3853" width="12.5703125" style="464" customWidth="1"/>
    <col min="3854" max="3854" width="14.85546875" style="464" customWidth="1"/>
    <col min="3855" max="3855" width="17.85546875" style="464" customWidth="1"/>
    <col min="3856" max="3856" width="33.5703125" style="464" customWidth="1"/>
    <col min="3857" max="3857" width="32.28515625" style="464" customWidth="1"/>
    <col min="3858" max="4096" width="9.140625" style="464"/>
    <col min="4097" max="4097" width="10.42578125" style="464" bestFit="1" customWidth="1"/>
    <col min="4098" max="4098" width="38.140625" style="464" customWidth="1"/>
    <col min="4099" max="4099" width="18.85546875" style="464" customWidth="1"/>
    <col min="4100" max="4103" width="12.140625" style="464" customWidth="1"/>
    <col min="4104" max="4104" width="12.5703125" style="464" customWidth="1"/>
    <col min="4105" max="4105" width="40.7109375" style="464" customWidth="1"/>
    <col min="4106" max="4106" width="16.5703125" style="464" customWidth="1"/>
    <col min="4107" max="4108" width="14.5703125" style="464" customWidth="1"/>
    <col min="4109" max="4109" width="12.5703125" style="464" customWidth="1"/>
    <col min="4110" max="4110" width="14.85546875" style="464" customWidth="1"/>
    <col min="4111" max="4111" width="17.85546875" style="464" customWidth="1"/>
    <col min="4112" max="4112" width="33.5703125" style="464" customWidth="1"/>
    <col min="4113" max="4113" width="32.28515625" style="464" customWidth="1"/>
    <col min="4114" max="4352" width="9.140625" style="464"/>
    <col min="4353" max="4353" width="10.42578125" style="464" bestFit="1" customWidth="1"/>
    <col min="4354" max="4354" width="38.140625" style="464" customWidth="1"/>
    <col min="4355" max="4355" width="18.85546875" style="464" customWidth="1"/>
    <col min="4356" max="4359" width="12.140625" style="464" customWidth="1"/>
    <col min="4360" max="4360" width="12.5703125" style="464" customWidth="1"/>
    <col min="4361" max="4361" width="40.7109375" style="464" customWidth="1"/>
    <col min="4362" max="4362" width="16.5703125" style="464" customWidth="1"/>
    <col min="4363" max="4364" width="14.5703125" style="464" customWidth="1"/>
    <col min="4365" max="4365" width="12.5703125" style="464" customWidth="1"/>
    <col min="4366" max="4366" width="14.85546875" style="464" customWidth="1"/>
    <col min="4367" max="4367" width="17.85546875" style="464" customWidth="1"/>
    <col min="4368" max="4368" width="33.5703125" style="464" customWidth="1"/>
    <col min="4369" max="4369" width="32.28515625" style="464" customWidth="1"/>
    <col min="4370" max="4608" width="9.140625" style="464"/>
    <col min="4609" max="4609" width="10.42578125" style="464" bestFit="1" customWidth="1"/>
    <col min="4610" max="4610" width="38.140625" style="464" customWidth="1"/>
    <col min="4611" max="4611" width="18.85546875" style="464" customWidth="1"/>
    <col min="4612" max="4615" width="12.140625" style="464" customWidth="1"/>
    <col min="4616" max="4616" width="12.5703125" style="464" customWidth="1"/>
    <col min="4617" max="4617" width="40.7109375" style="464" customWidth="1"/>
    <col min="4618" max="4618" width="16.5703125" style="464" customWidth="1"/>
    <col min="4619" max="4620" width="14.5703125" style="464" customWidth="1"/>
    <col min="4621" max="4621" width="12.5703125" style="464" customWidth="1"/>
    <col min="4622" max="4622" width="14.85546875" style="464" customWidth="1"/>
    <col min="4623" max="4623" width="17.85546875" style="464" customWidth="1"/>
    <col min="4624" max="4624" width="33.5703125" style="464" customWidth="1"/>
    <col min="4625" max="4625" width="32.28515625" style="464" customWidth="1"/>
    <col min="4626" max="4864" width="9.140625" style="464"/>
    <col min="4865" max="4865" width="10.42578125" style="464" bestFit="1" customWidth="1"/>
    <col min="4866" max="4866" width="38.140625" style="464" customWidth="1"/>
    <col min="4867" max="4867" width="18.85546875" style="464" customWidth="1"/>
    <col min="4868" max="4871" width="12.140625" style="464" customWidth="1"/>
    <col min="4872" max="4872" width="12.5703125" style="464" customWidth="1"/>
    <col min="4873" max="4873" width="40.7109375" style="464" customWidth="1"/>
    <col min="4874" max="4874" width="16.5703125" style="464" customWidth="1"/>
    <col min="4875" max="4876" width="14.5703125" style="464" customWidth="1"/>
    <col min="4877" max="4877" width="12.5703125" style="464" customWidth="1"/>
    <col min="4878" max="4878" width="14.85546875" style="464" customWidth="1"/>
    <col min="4879" max="4879" width="17.85546875" style="464" customWidth="1"/>
    <col min="4880" max="4880" width="33.5703125" style="464" customWidth="1"/>
    <col min="4881" max="4881" width="32.28515625" style="464" customWidth="1"/>
    <col min="4882" max="5120" width="9.140625" style="464"/>
    <col min="5121" max="5121" width="10.42578125" style="464" bestFit="1" customWidth="1"/>
    <col min="5122" max="5122" width="38.140625" style="464" customWidth="1"/>
    <col min="5123" max="5123" width="18.85546875" style="464" customWidth="1"/>
    <col min="5124" max="5127" width="12.140625" style="464" customWidth="1"/>
    <col min="5128" max="5128" width="12.5703125" style="464" customWidth="1"/>
    <col min="5129" max="5129" width="40.7109375" style="464" customWidth="1"/>
    <col min="5130" max="5130" width="16.5703125" style="464" customWidth="1"/>
    <col min="5131" max="5132" width="14.5703125" style="464" customWidth="1"/>
    <col min="5133" max="5133" width="12.5703125" style="464" customWidth="1"/>
    <col min="5134" max="5134" width="14.85546875" style="464" customWidth="1"/>
    <col min="5135" max="5135" width="17.85546875" style="464" customWidth="1"/>
    <col min="5136" max="5136" width="33.5703125" style="464" customWidth="1"/>
    <col min="5137" max="5137" width="32.28515625" style="464" customWidth="1"/>
    <col min="5138" max="5376" width="9.140625" style="464"/>
    <col min="5377" max="5377" width="10.42578125" style="464" bestFit="1" customWidth="1"/>
    <col min="5378" max="5378" width="38.140625" style="464" customWidth="1"/>
    <col min="5379" max="5379" width="18.85546875" style="464" customWidth="1"/>
    <col min="5380" max="5383" width="12.140625" style="464" customWidth="1"/>
    <col min="5384" max="5384" width="12.5703125" style="464" customWidth="1"/>
    <col min="5385" max="5385" width="40.7109375" style="464" customWidth="1"/>
    <col min="5386" max="5386" width="16.5703125" style="464" customWidth="1"/>
    <col min="5387" max="5388" width="14.5703125" style="464" customWidth="1"/>
    <col min="5389" max="5389" width="12.5703125" style="464" customWidth="1"/>
    <col min="5390" max="5390" width="14.85546875" style="464" customWidth="1"/>
    <col min="5391" max="5391" width="17.85546875" style="464" customWidth="1"/>
    <col min="5392" max="5392" width="33.5703125" style="464" customWidth="1"/>
    <col min="5393" max="5393" width="32.28515625" style="464" customWidth="1"/>
    <col min="5394" max="5632" width="9.140625" style="464"/>
    <col min="5633" max="5633" width="10.42578125" style="464" bestFit="1" customWidth="1"/>
    <col min="5634" max="5634" width="38.140625" style="464" customWidth="1"/>
    <col min="5635" max="5635" width="18.85546875" style="464" customWidth="1"/>
    <col min="5636" max="5639" width="12.140625" style="464" customWidth="1"/>
    <col min="5640" max="5640" width="12.5703125" style="464" customWidth="1"/>
    <col min="5641" max="5641" width="40.7109375" style="464" customWidth="1"/>
    <col min="5642" max="5642" width="16.5703125" style="464" customWidth="1"/>
    <col min="5643" max="5644" width="14.5703125" style="464" customWidth="1"/>
    <col min="5645" max="5645" width="12.5703125" style="464" customWidth="1"/>
    <col min="5646" max="5646" width="14.85546875" style="464" customWidth="1"/>
    <col min="5647" max="5647" width="17.85546875" style="464" customWidth="1"/>
    <col min="5648" max="5648" width="33.5703125" style="464" customWidth="1"/>
    <col min="5649" max="5649" width="32.28515625" style="464" customWidth="1"/>
    <col min="5650" max="5888" width="9.140625" style="464"/>
    <col min="5889" max="5889" width="10.42578125" style="464" bestFit="1" customWidth="1"/>
    <col min="5890" max="5890" width="38.140625" style="464" customWidth="1"/>
    <col min="5891" max="5891" width="18.85546875" style="464" customWidth="1"/>
    <col min="5892" max="5895" width="12.140625" style="464" customWidth="1"/>
    <col min="5896" max="5896" width="12.5703125" style="464" customWidth="1"/>
    <col min="5897" max="5897" width="40.7109375" style="464" customWidth="1"/>
    <col min="5898" max="5898" width="16.5703125" style="464" customWidth="1"/>
    <col min="5899" max="5900" width="14.5703125" style="464" customWidth="1"/>
    <col min="5901" max="5901" width="12.5703125" style="464" customWidth="1"/>
    <col min="5902" max="5902" width="14.85546875" style="464" customWidth="1"/>
    <col min="5903" max="5903" width="17.85546875" style="464" customWidth="1"/>
    <col min="5904" max="5904" width="33.5703125" style="464" customWidth="1"/>
    <col min="5905" max="5905" width="32.28515625" style="464" customWidth="1"/>
    <col min="5906" max="6144" width="9.140625" style="464"/>
    <col min="6145" max="6145" width="10.42578125" style="464" bestFit="1" customWidth="1"/>
    <col min="6146" max="6146" width="38.140625" style="464" customWidth="1"/>
    <col min="6147" max="6147" width="18.85546875" style="464" customWidth="1"/>
    <col min="6148" max="6151" width="12.140625" style="464" customWidth="1"/>
    <col min="6152" max="6152" width="12.5703125" style="464" customWidth="1"/>
    <col min="6153" max="6153" width="40.7109375" style="464" customWidth="1"/>
    <col min="6154" max="6154" width="16.5703125" style="464" customWidth="1"/>
    <col min="6155" max="6156" width="14.5703125" style="464" customWidth="1"/>
    <col min="6157" max="6157" width="12.5703125" style="464" customWidth="1"/>
    <col min="6158" max="6158" width="14.85546875" style="464" customWidth="1"/>
    <col min="6159" max="6159" width="17.85546875" style="464" customWidth="1"/>
    <col min="6160" max="6160" width="33.5703125" style="464" customWidth="1"/>
    <col min="6161" max="6161" width="32.28515625" style="464" customWidth="1"/>
    <col min="6162" max="6400" width="9.140625" style="464"/>
    <col min="6401" max="6401" width="10.42578125" style="464" bestFit="1" customWidth="1"/>
    <col min="6402" max="6402" width="38.140625" style="464" customWidth="1"/>
    <col min="6403" max="6403" width="18.85546875" style="464" customWidth="1"/>
    <col min="6404" max="6407" width="12.140625" style="464" customWidth="1"/>
    <col min="6408" max="6408" width="12.5703125" style="464" customWidth="1"/>
    <col min="6409" max="6409" width="40.7109375" style="464" customWidth="1"/>
    <col min="6410" max="6410" width="16.5703125" style="464" customWidth="1"/>
    <col min="6411" max="6412" width="14.5703125" style="464" customWidth="1"/>
    <col min="6413" max="6413" width="12.5703125" style="464" customWidth="1"/>
    <col min="6414" max="6414" width="14.85546875" style="464" customWidth="1"/>
    <col min="6415" max="6415" width="17.85546875" style="464" customWidth="1"/>
    <col min="6416" max="6416" width="33.5703125" style="464" customWidth="1"/>
    <col min="6417" max="6417" width="32.28515625" style="464" customWidth="1"/>
    <col min="6418" max="6656" width="9.140625" style="464"/>
    <col min="6657" max="6657" width="10.42578125" style="464" bestFit="1" customWidth="1"/>
    <col min="6658" max="6658" width="38.140625" style="464" customWidth="1"/>
    <col min="6659" max="6659" width="18.85546875" style="464" customWidth="1"/>
    <col min="6660" max="6663" width="12.140625" style="464" customWidth="1"/>
    <col min="6664" max="6664" width="12.5703125" style="464" customWidth="1"/>
    <col min="6665" max="6665" width="40.7109375" style="464" customWidth="1"/>
    <col min="6666" max="6666" width="16.5703125" style="464" customWidth="1"/>
    <col min="6667" max="6668" width="14.5703125" style="464" customWidth="1"/>
    <col min="6669" max="6669" width="12.5703125" style="464" customWidth="1"/>
    <col min="6670" max="6670" width="14.85546875" style="464" customWidth="1"/>
    <col min="6671" max="6671" width="17.85546875" style="464" customWidth="1"/>
    <col min="6672" max="6672" width="33.5703125" style="464" customWidth="1"/>
    <col min="6673" max="6673" width="32.28515625" style="464" customWidth="1"/>
    <col min="6674" max="6912" width="9.140625" style="464"/>
    <col min="6913" max="6913" width="10.42578125" style="464" bestFit="1" customWidth="1"/>
    <col min="6914" max="6914" width="38.140625" style="464" customWidth="1"/>
    <col min="6915" max="6915" width="18.85546875" style="464" customWidth="1"/>
    <col min="6916" max="6919" width="12.140625" style="464" customWidth="1"/>
    <col min="6920" max="6920" width="12.5703125" style="464" customWidth="1"/>
    <col min="6921" max="6921" width="40.7109375" style="464" customWidth="1"/>
    <col min="6922" max="6922" width="16.5703125" style="464" customWidth="1"/>
    <col min="6923" max="6924" width="14.5703125" style="464" customWidth="1"/>
    <col min="6925" max="6925" width="12.5703125" style="464" customWidth="1"/>
    <col min="6926" max="6926" width="14.85546875" style="464" customWidth="1"/>
    <col min="6927" max="6927" width="17.85546875" style="464" customWidth="1"/>
    <col min="6928" max="6928" width="33.5703125" style="464" customWidth="1"/>
    <col min="6929" max="6929" width="32.28515625" style="464" customWidth="1"/>
    <col min="6930" max="7168" width="9.140625" style="464"/>
    <col min="7169" max="7169" width="10.42578125" style="464" bestFit="1" customWidth="1"/>
    <col min="7170" max="7170" width="38.140625" style="464" customWidth="1"/>
    <col min="7171" max="7171" width="18.85546875" style="464" customWidth="1"/>
    <col min="7172" max="7175" width="12.140625" style="464" customWidth="1"/>
    <col min="7176" max="7176" width="12.5703125" style="464" customWidth="1"/>
    <col min="7177" max="7177" width="40.7109375" style="464" customWidth="1"/>
    <col min="7178" max="7178" width="16.5703125" style="464" customWidth="1"/>
    <col min="7179" max="7180" width="14.5703125" style="464" customWidth="1"/>
    <col min="7181" max="7181" width="12.5703125" style="464" customWidth="1"/>
    <col min="7182" max="7182" width="14.85546875" style="464" customWidth="1"/>
    <col min="7183" max="7183" width="17.85546875" style="464" customWidth="1"/>
    <col min="7184" max="7184" width="33.5703125" style="464" customWidth="1"/>
    <col min="7185" max="7185" width="32.28515625" style="464" customWidth="1"/>
    <col min="7186" max="7424" width="9.140625" style="464"/>
    <col min="7425" max="7425" width="10.42578125" style="464" bestFit="1" customWidth="1"/>
    <col min="7426" max="7426" width="38.140625" style="464" customWidth="1"/>
    <col min="7427" max="7427" width="18.85546875" style="464" customWidth="1"/>
    <col min="7428" max="7431" width="12.140625" style="464" customWidth="1"/>
    <col min="7432" max="7432" width="12.5703125" style="464" customWidth="1"/>
    <col min="7433" max="7433" width="40.7109375" style="464" customWidth="1"/>
    <col min="7434" max="7434" width="16.5703125" style="464" customWidth="1"/>
    <col min="7435" max="7436" width="14.5703125" style="464" customWidth="1"/>
    <col min="7437" max="7437" width="12.5703125" style="464" customWidth="1"/>
    <col min="7438" max="7438" width="14.85546875" style="464" customWidth="1"/>
    <col min="7439" max="7439" width="17.85546875" style="464" customWidth="1"/>
    <col min="7440" max="7440" width="33.5703125" style="464" customWidth="1"/>
    <col min="7441" max="7441" width="32.28515625" style="464" customWidth="1"/>
    <col min="7442" max="7680" width="9.140625" style="464"/>
    <col min="7681" max="7681" width="10.42578125" style="464" bestFit="1" customWidth="1"/>
    <col min="7682" max="7682" width="38.140625" style="464" customWidth="1"/>
    <col min="7683" max="7683" width="18.85546875" style="464" customWidth="1"/>
    <col min="7684" max="7687" width="12.140625" style="464" customWidth="1"/>
    <col min="7688" max="7688" width="12.5703125" style="464" customWidth="1"/>
    <col min="7689" max="7689" width="40.7109375" style="464" customWidth="1"/>
    <col min="7690" max="7690" width="16.5703125" style="464" customWidth="1"/>
    <col min="7691" max="7692" width="14.5703125" style="464" customWidth="1"/>
    <col min="7693" max="7693" width="12.5703125" style="464" customWidth="1"/>
    <col min="7694" max="7694" width="14.85546875" style="464" customWidth="1"/>
    <col min="7695" max="7695" width="17.85546875" style="464" customWidth="1"/>
    <col min="7696" max="7696" width="33.5703125" style="464" customWidth="1"/>
    <col min="7697" max="7697" width="32.28515625" style="464" customWidth="1"/>
    <col min="7698" max="7936" width="9.140625" style="464"/>
    <col min="7937" max="7937" width="10.42578125" style="464" bestFit="1" customWidth="1"/>
    <col min="7938" max="7938" width="38.140625" style="464" customWidth="1"/>
    <col min="7939" max="7939" width="18.85546875" style="464" customWidth="1"/>
    <col min="7940" max="7943" width="12.140625" style="464" customWidth="1"/>
    <col min="7944" max="7944" width="12.5703125" style="464" customWidth="1"/>
    <col min="7945" max="7945" width="40.7109375" style="464" customWidth="1"/>
    <col min="7946" max="7946" width="16.5703125" style="464" customWidth="1"/>
    <col min="7947" max="7948" width="14.5703125" style="464" customWidth="1"/>
    <col min="7949" max="7949" width="12.5703125" style="464" customWidth="1"/>
    <col min="7950" max="7950" width="14.85546875" style="464" customWidth="1"/>
    <col min="7951" max="7951" width="17.85546875" style="464" customWidth="1"/>
    <col min="7952" max="7952" width="33.5703125" style="464" customWidth="1"/>
    <col min="7953" max="7953" width="32.28515625" style="464" customWidth="1"/>
    <col min="7954" max="8192" width="9.140625" style="464"/>
    <col min="8193" max="8193" width="10.42578125" style="464" bestFit="1" customWidth="1"/>
    <col min="8194" max="8194" width="38.140625" style="464" customWidth="1"/>
    <col min="8195" max="8195" width="18.85546875" style="464" customWidth="1"/>
    <col min="8196" max="8199" width="12.140625" style="464" customWidth="1"/>
    <col min="8200" max="8200" width="12.5703125" style="464" customWidth="1"/>
    <col min="8201" max="8201" width="40.7109375" style="464" customWidth="1"/>
    <col min="8202" max="8202" width="16.5703125" style="464" customWidth="1"/>
    <col min="8203" max="8204" width="14.5703125" style="464" customWidth="1"/>
    <col min="8205" max="8205" width="12.5703125" style="464" customWidth="1"/>
    <col min="8206" max="8206" width="14.85546875" style="464" customWidth="1"/>
    <col min="8207" max="8207" width="17.85546875" style="464" customWidth="1"/>
    <col min="8208" max="8208" width="33.5703125" style="464" customWidth="1"/>
    <col min="8209" max="8209" width="32.28515625" style="464" customWidth="1"/>
    <col min="8210" max="8448" width="9.140625" style="464"/>
    <col min="8449" max="8449" width="10.42578125" style="464" bestFit="1" customWidth="1"/>
    <col min="8450" max="8450" width="38.140625" style="464" customWidth="1"/>
    <col min="8451" max="8451" width="18.85546875" style="464" customWidth="1"/>
    <col min="8452" max="8455" width="12.140625" style="464" customWidth="1"/>
    <col min="8456" max="8456" width="12.5703125" style="464" customWidth="1"/>
    <col min="8457" max="8457" width="40.7109375" style="464" customWidth="1"/>
    <col min="8458" max="8458" width="16.5703125" style="464" customWidth="1"/>
    <col min="8459" max="8460" width="14.5703125" style="464" customWidth="1"/>
    <col min="8461" max="8461" width="12.5703125" style="464" customWidth="1"/>
    <col min="8462" max="8462" width="14.85546875" style="464" customWidth="1"/>
    <col min="8463" max="8463" width="17.85546875" style="464" customWidth="1"/>
    <col min="8464" max="8464" width="33.5703125" style="464" customWidth="1"/>
    <col min="8465" max="8465" width="32.28515625" style="464" customWidth="1"/>
    <col min="8466" max="8704" width="9.140625" style="464"/>
    <col min="8705" max="8705" width="10.42578125" style="464" bestFit="1" customWidth="1"/>
    <col min="8706" max="8706" width="38.140625" style="464" customWidth="1"/>
    <col min="8707" max="8707" width="18.85546875" style="464" customWidth="1"/>
    <col min="8708" max="8711" width="12.140625" style="464" customWidth="1"/>
    <col min="8712" max="8712" width="12.5703125" style="464" customWidth="1"/>
    <col min="8713" max="8713" width="40.7109375" style="464" customWidth="1"/>
    <col min="8714" max="8714" width="16.5703125" style="464" customWidth="1"/>
    <col min="8715" max="8716" width="14.5703125" style="464" customWidth="1"/>
    <col min="8717" max="8717" width="12.5703125" style="464" customWidth="1"/>
    <col min="8718" max="8718" width="14.85546875" style="464" customWidth="1"/>
    <col min="8719" max="8719" width="17.85546875" style="464" customWidth="1"/>
    <col min="8720" max="8720" width="33.5703125" style="464" customWidth="1"/>
    <col min="8721" max="8721" width="32.28515625" style="464" customWidth="1"/>
    <col min="8722" max="8960" width="9.140625" style="464"/>
    <col min="8961" max="8961" width="10.42578125" style="464" bestFit="1" customWidth="1"/>
    <col min="8962" max="8962" width="38.140625" style="464" customWidth="1"/>
    <col min="8963" max="8963" width="18.85546875" style="464" customWidth="1"/>
    <col min="8964" max="8967" width="12.140625" style="464" customWidth="1"/>
    <col min="8968" max="8968" width="12.5703125" style="464" customWidth="1"/>
    <col min="8969" max="8969" width="40.7109375" style="464" customWidth="1"/>
    <col min="8970" max="8970" width="16.5703125" style="464" customWidth="1"/>
    <col min="8971" max="8972" width="14.5703125" style="464" customWidth="1"/>
    <col min="8973" max="8973" width="12.5703125" style="464" customWidth="1"/>
    <col min="8974" max="8974" width="14.85546875" style="464" customWidth="1"/>
    <col min="8975" max="8975" width="17.85546875" style="464" customWidth="1"/>
    <col min="8976" max="8976" width="33.5703125" style="464" customWidth="1"/>
    <col min="8977" max="8977" width="32.28515625" style="464" customWidth="1"/>
    <col min="8978" max="9216" width="9.140625" style="464"/>
    <col min="9217" max="9217" width="10.42578125" style="464" bestFit="1" customWidth="1"/>
    <col min="9218" max="9218" width="38.140625" style="464" customWidth="1"/>
    <col min="9219" max="9219" width="18.85546875" style="464" customWidth="1"/>
    <col min="9220" max="9223" width="12.140625" style="464" customWidth="1"/>
    <col min="9224" max="9224" width="12.5703125" style="464" customWidth="1"/>
    <col min="9225" max="9225" width="40.7109375" style="464" customWidth="1"/>
    <col min="9226" max="9226" width="16.5703125" style="464" customWidth="1"/>
    <col min="9227" max="9228" width="14.5703125" style="464" customWidth="1"/>
    <col min="9229" max="9229" width="12.5703125" style="464" customWidth="1"/>
    <col min="9230" max="9230" width="14.85546875" style="464" customWidth="1"/>
    <col min="9231" max="9231" width="17.85546875" style="464" customWidth="1"/>
    <col min="9232" max="9232" width="33.5703125" style="464" customWidth="1"/>
    <col min="9233" max="9233" width="32.28515625" style="464" customWidth="1"/>
    <col min="9234" max="9472" width="9.140625" style="464"/>
    <col min="9473" max="9473" width="10.42578125" style="464" bestFit="1" customWidth="1"/>
    <col min="9474" max="9474" width="38.140625" style="464" customWidth="1"/>
    <col min="9475" max="9475" width="18.85546875" style="464" customWidth="1"/>
    <col min="9476" max="9479" width="12.140625" style="464" customWidth="1"/>
    <col min="9480" max="9480" width="12.5703125" style="464" customWidth="1"/>
    <col min="9481" max="9481" width="40.7109375" style="464" customWidth="1"/>
    <col min="9482" max="9482" width="16.5703125" style="464" customWidth="1"/>
    <col min="9483" max="9484" width="14.5703125" style="464" customWidth="1"/>
    <col min="9485" max="9485" width="12.5703125" style="464" customWidth="1"/>
    <col min="9486" max="9486" width="14.85546875" style="464" customWidth="1"/>
    <col min="9487" max="9487" width="17.85546875" style="464" customWidth="1"/>
    <col min="9488" max="9488" width="33.5703125" style="464" customWidth="1"/>
    <col min="9489" max="9489" width="32.28515625" style="464" customWidth="1"/>
    <col min="9490" max="9728" width="9.140625" style="464"/>
    <col min="9729" max="9729" width="10.42578125" style="464" bestFit="1" customWidth="1"/>
    <col min="9730" max="9730" width="38.140625" style="464" customWidth="1"/>
    <col min="9731" max="9731" width="18.85546875" style="464" customWidth="1"/>
    <col min="9732" max="9735" width="12.140625" style="464" customWidth="1"/>
    <col min="9736" max="9736" width="12.5703125" style="464" customWidth="1"/>
    <col min="9737" max="9737" width="40.7109375" style="464" customWidth="1"/>
    <col min="9738" max="9738" width="16.5703125" style="464" customWidth="1"/>
    <col min="9739" max="9740" width="14.5703125" style="464" customWidth="1"/>
    <col min="9741" max="9741" width="12.5703125" style="464" customWidth="1"/>
    <col min="9742" max="9742" width="14.85546875" style="464" customWidth="1"/>
    <col min="9743" max="9743" width="17.85546875" style="464" customWidth="1"/>
    <col min="9744" max="9744" width="33.5703125" style="464" customWidth="1"/>
    <col min="9745" max="9745" width="32.28515625" style="464" customWidth="1"/>
    <col min="9746" max="9984" width="9.140625" style="464"/>
    <col min="9985" max="9985" width="10.42578125" style="464" bestFit="1" customWidth="1"/>
    <col min="9986" max="9986" width="38.140625" style="464" customWidth="1"/>
    <col min="9987" max="9987" width="18.85546875" style="464" customWidth="1"/>
    <col min="9988" max="9991" width="12.140625" style="464" customWidth="1"/>
    <col min="9992" max="9992" width="12.5703125" style="464" customWidth="1"/>
    <col min="9993" max="9993" width="40.7109375" style="464" customWidth="1"/>
    <col min="9994" max="9994" width="16.5703125" style="464" customWidth="1"/>
    <col min="9995" max="9996" width="14.5703125" style="464" customWidth="1"/>
    <col min="9997" max="9997" width="12.5703125" style="464" customWidth="1"/>
    <col min="9998" max="9998" width="14.85546875" style="464" customWidth="1"/>
    <col min="9999" max="9999" width="17.85546875" style="464" customWidth="1"/>
    <col min="10000" max="10000" width="33.5703125" style="464" customWidth="1"/>
    <col min="10001" max="10001" width="32.28515625" style="464" customWidth="1"/>
    <col min="10002" max="10240" width="9.140625" style="464"/>
    <col min="10241" max="10241" width="10.42578125" style="464" bestFit="1" customWidth="1"/>
    <col min="10242" max="10242" width="38.140625" style="464" customWidth="1"/>
    <col min="10243" max="10243" width="18.85546875" style="464" customWidth="1"/>
    <col min="10244" max="10247" width="12.140625" style="464" customWidth="1"/>
    <col min="10248" max="10248" width="12.5703125" style="464" customWidth="1"/>
    <col min="10249" max="10249" width="40.7109375" style="464" customWidth="1"/>
    <col min="10250" max="10250" width="16.5703125" style="464" customWidth="1"/>
    <col min="10251" max="10252" width="14.5703125" style="464" customWidth="1"/>
    <col min="10253" max="10253" width="12.5703125" style="464" customWidth="1"/>
    <col min="10254" max="10254" width="14.85546875" style="464" customWidth="1"/>
    <col min="10255" max="10255" width="17.85546875" style="464" customWidth="1"/>
    <col min="10256" max="10256" width="33.5703125" style="464" customWidth="1"/>
    <col min="10257" max="10257" width="32.28515625" style="464" customWidth="1"/>
    <col min="10258" max="10496" width="9.140625" style="464"/>
    <col min="10497" max="10497" width="10.42578125" style="464" bestFit="1" customWidth="1"/>
    <col min="10498" max="10498" width="38.140625" style="464" customWidth="1"/>
    <col min="10499" max="10499" width="18.85546875" style="464" customWidth="1"/>
    <col min="10500" max="10503" width="12.140625" style="464" customWidth="1"/>
    <col min="10504" max="10504" width="12.5703125" style="464" customWidth="1"/>
    <col min="10505" max="10505" width="40.7109375" style="464" customWidth="1"/>
    <col min="10506" max="10506" width="16.5703125" style="464" customWidth="1"/>
    <col min="10507" max="10508" width="14.5703125" style="464" customWidth="1"/>
    <col min="10509" max="10509" width="12.5703125" style="464" customWidth="1"/>
    <col min="10510" max="10510" width="14.85546875" style="464" customWidth="1"/>
    <col min="10511" max="10511" width="17.85546875" style="464" customWidth="1"/>
    <col min="10512" max="10512" width="33.5703125" style="464" customWidth="1"/>
    <col min="10513" max="10513" width="32.28515625" style="464" customWidth="1"/>
    <col min="10514" max="10752" width="9.140625" style="464"/>
    <col min="10753" max="10753" width="10.42578125" style="464" bestFit="1" customWidth="1"/>
    <col min="10754" max="10754" width="38.140625" style="464" customWidth="1"/>
    <col min="10755" max="10755" width="18.85546875" style="464" customWidth="1"/>
    <col min="10756" max="10759" width="12.140625" style="464" customWidth="1"/>
    <col min="10760" max="10760" width="12.5703125" style="464" customWidth="1"/>
    <col min="10761" max="10761" width="40.7109375" style="464" customWidth="1"/>
    <col min="10762" max="10762" width="16.5703125" style="464" customWidth="1"/>
    <col min="10763" max="10764" width="14.5703125" style="464" customWidth="1"/>
    <col min="10765" max="10765" width="12.5703125" style="464" customWidth="1"/>
    <col min="10766" max="10766" width="14.85546875" style="464" customWidth="1"/>
    <col min="10767" max="10767" width="17.85546875" style="464" customWidth="1"/>
    <col min="10768" max="10768" width="33.5703125" style="464" customWidth="1"/>
    <col min="10769" max="10769" width="32.28515625" style="464" customWidth="1"/>
    <col min="10770" max="11008" width="9.140625" style="464"/>
    <col min="11009" max="11009" width="10.42578125" style="464" bestFit="1" customWidth="1"/>
    <col min="11010" max="11010" width="38.140625" style="464" customWidth="1"/>
    <col min="11011" max="11011" width="18.85546875" style="464" customWidth="1"/>
    <col min="11012" max="11015" width="12.140625" style="464" customWidth="1"/>
    <col min="11016" max="11016" width="12.5703125" style="464" customWidth="1"/>
    <col min="11017" max="11017" width="40.7109375" style="464" customWidth="1"/>
    <col min="11018" max="11018" width="16.5703125" style="464" customWidth="1"/>
    <col min="11019" max="11020" width="14.5703125" style="464" customWidth="1"/>
    <col min="11021" max="11021" width="12.5703125" style="464" customWidth="1"/>
    <col min="11022" max="11022" width="14.85546875" style="464" customWidth="1"/>
    <col min="11023" max="11023" width="17.85546875" style="464" customWidth="1"/>
    <col min="11024" max="11024" width="33.5703125" style="464" customWidth="1"/>
    <col min="11025" max="11025" width="32.28515625" style="464" customWidth="1"/>
    <col min="11026" max="11264" width="9.140625" style="464"/>
    <col min="11265" max="11265" width="10.42578125" style="464" bestFit="1" customWidth="1"/>
    <col min="11266" max="11266" width="38.140625" style="464" customWidth="1"/>
    <col min="11267" max="11267" width="18.85546875" style="464" customWidth="1"/>
    <col min="11268" max="11271" width="12.140625" style="464" customWidth="1"/>
    <col min="11272" max="11272" width="12.5703125" style="464" customWidth="1"/>
    <col min="11273" max="11273" width="40.7109375" style="464" customWidth="1"/>
    <col min="11274" max="11274" width="16.5703125" style="464" customWidth="1"/>
    <col min="11275" max="11276" width="14.5703125" style="464" customWidth="1"/>
    <col min="11277" max="11277" width="12.5703125" style="464" customWidth="1"/>
    <col min="11278" max="11278" width="14.85546875" style="464" customWidth="1"/>
    <col min="11279" max="11279" width="17.85546875" style="464" customWidth="1"/>
    <col min="11280" max="11280" width="33.5703125" style="464" customWidth="1"/>
    <col min="11281" max="11281" width="32.28515625" style="464" customWidth="1"/>
    <col min="11282" max="11520" width="9.140625" style="464"/>
    <col min="11521" max="11521" width="10.42578125" style="464" bestFit="1" customWidth="1"/>
    <col min="11522" max="11522" width="38.140625" style="464" customWidth="1"/>
    <col min="11523" max="11523" width="18.85546875" style="464" customWidth="1"/>
    <col min="11524" max="11527" width="12.140625" style="464" customWidth="1"/>
    <col min="11528" max="11528" width="12.5703125" style="464" customWidth="1"/>
    <col min="11529" max="11529" width="40.7109375" style="464" customWidth="1"/>
    <col min="11530" max="11530" width="16.5703125" style="464" customWidth="1"/>
    <col min="11531" max="11532" width="14.5703125" style="464" customWidth="1"/>
    <col min="11533" max="11533" width="12.5703125" style="464" customWidth="1"/>
    <col min="11534" max="11534" width="14.85546875" style="464" customWidth="1"/>
    <col min="11535" max="11535" width="17.85546875" style="464" customWidth="1"/>
    <col min="11536" max="11536" width="33.5703125" style="464" customWidth="1"/>
    <col min="11537" max="11537" width="32.28515625" style="464" customWidth="1"/>
    <col min="11538" max="11776" width="9.140625" style="464"/>
    <col min="11777" max="11777" width="10.42578125" style="464" bestFit="1" customWidth="1"/>
    <col min="11778" max="11778" width="38.140625" style="464" customWidth="1"/>
    <col min="11779" max="11779" width="18.85546875" style="464" customWidth="1"/>
    <col min="11780" max="11783" width="12.140625" style="464" customWidth="1"/>
    <col min="11784" max="11784" width="12.5703125" style="464" customWidth="1"/>
    <col min="11785" max="11785" width="40.7109375" style="464" customWidth="1"/>
    <col min="11786" max="11786" width="16.5703125" style="464" customWidth="1"/>
    <col min="11787" max="11788" width="14.5703125" style="464" customWidth="1"/>
    <col min="11789" max="11789" width="12.5703125" style="464" customWidth="1"/>
    <col min="11790" max="11790" width="14.85546875" style="464" customWidth="1"/>
    <col min="11791" max="11791" width="17.85546875" style="464" customWidth="1"/>
    <col min="11792" max="11792" width="33.5703125" style="464" customWidth="1"/>
    <col min="11793" max="11793" width="32.28515625" style="464" customWidth="1"/>
    <col min="11794" max="12032" width="9.140625" style="464"/>
    <col min="12033" max="12033" width="10.42578125" style="464" bestFit="1" customWidth="1"/>
    <col min="12034" max="12034" width="38.140625" style="464" customWidth="1"/>
    <col min="12035" max="12035" width="18.85546875" style="464" customWidth="1"/>
    <col min="12036" max="12039" width="12.140625" style="464" customWidth="1"/>
    <col min="12040" max="12040" width="12.5703125" style="464" customWidth="1"/>
    <col min="12041" max="12041" width="40.7109375" style="464" customWidth="1"/>
    <col min="12042" max="12042" width="16.5703125" style="464" customWidth="1"/>
    <col min="12043" max="12044" width="14.5703125" style="464" customWidth="1"/>
    <col min="12045" max="12045" width="12.5703125" style="464" customWidth="1"/>
    <col min="12046" max="12046" width="14.85546875" style="464" customWidth="1"/>
    <col min="12047" max="12047" width="17.85546875" style="464" customWidth="1"/>
    <col min="12048" max="12048" width="33.5703125" style="464" customWidth="1"/>
    <col min="12049" max="12049" width="32.28515625" style="464" customWidth="1"/>
    <col min="12050" max="12288" width="9.140625" style="464"/>
    <col min="12289" max="12289" width="10.42578125" style="464" bestFit="1" customWidth="1"/>
    <col min="12290" max="12290" width="38.140625" style="464" customWidth="1"/>
    <col min="12291" max="12291" width="18.85546875" style="464" customWidth="1"/>
    <col min="12292" max="12295" width="12.140625" style="464" customWidth="1"/>
    <col min="12296" max="12296" width="12.5703125" style="464" customWidth="1"/>
    <col min="12297" max="12297" width="40.7109375" style="464" customWidth="1"/>
    <col min="12298" max="12298" width="16.5703125" style="464" customWidth="1"/>
    <col min="12299" max="12300" width="14.5703125" style="464" customWidth="1"/>
    <col min="12301" max="12301" width="12.5703125" style="464" customWidth="1"/>
    <col min="12302" max="12302" width="14.85546875" style="464" customWidth="1"/>
    <col min="12303" max="12303" width="17.85546875" style="464" customWidth="1"/>
    <col min="12304" max="12304" width="33.5703125" style="464" customWidth="1"/>
    <col min="12305" max="12305" width="32.28515625" style="464" customWidth="1"/>
    <col min="12306" max="12544" width="9.140625" style="464"/>
    <col min="12545" max="12545" width="10.42578125" style="464" bestFit="1" customWidth="1"/>
    <col min="12546" max="12546" width="38.140625" style="464" customWidth="1"/>
    <col min="12547" max="12547" width="18.85546875" style="464" customWidth="1"/>
    <col min="12548" max="12551" width="12.140625" style="464" customWidth="1"/>
    <col min="12552" max="12552" width="12.5703125" style="464" customWidth="1"/>
    <col min="12553" max="12553" width="40.7109375" style="464" customWidth="1"/>
    <col min="12554" max="12554" width="16.5703125" style="464" customWidth="1"/>
    <col min="12555" max="12556" width="14.5703125" style="464" customWidth="1"/>
    <col min="12557" max="12557" width="12.5703125" style="464" customWidth="1"/>
    <col min="12558" max="12558" width="14.85546875" style="464" customWidth="1"/>
    <col min="12559" max="12559" width="17.85546875" style="464" customWidth="1"/>
    <col min="12560" max="12560" width="33.5703125" style="464" customWidth="1"/>
    <col min="12561" max="12561" width="32.28515625" style="464" customWidth="1"/>
    <col min="12562" max="12800" width="9.140625" style="464"/>
    <col min="12801" max="12801" width="10.42578125" style="464" bestFit="1" customWidth="1"/>
    <col min="12802" max="12802" width="38.140625" style="464" customWidth="1"/>
    <col min="12803" max="12803" width="18.85546875" style="464" customWidth="1"/>
    <col min="12804" max="12807" width="12.140625" style="464" customWidth="1"/>
    <col min="12808" max="12808" width="12.5703125" style="464" customWidth="1"/>
    <col min="12809" max="12809" width="40.7109375" style="464" customWidth="1"/>
    <col min="12810" max="12810" width="16.5703125" style="464" customWidth="1"/>
    <col min="12811" max="12812" width="14.5703125" style="464" customWidth="1"/>
    <col min="12813" max="12813" width="12.5703125" style="464" customWidth="1"/>
    <col min="12814" max="12814" width="14.85546875" style="464" customWidth="1"/>
    <col min="12815" max="12815" width="17.85546875" style="464" customWidth="1"/>
    <col min="12816" max="12816" width="33.5703125" style="464" customWidth="1"/>
    <col min="12817" max="12817" width="32.28515625" style="464" customWidth="1"/>
    <col min="12818" max="13056" width="9.140625" style="464"/>
    <col min="13057" max="13057" width="10.42578125" style="464" bestFit="1" customWidth="1"/>
    <col min="13058" max="13058" width="38.140625" style="464" customWidth="1"/>
    <col min="13059" max="13059" width="18.85546875" style="464" customWidth="1"/>
    <col min="13060" max="13063" width="12.140625" style="464" customWidth="1"/>
    <col min="13064" max="13064" width="12.5703125" style="464" customWidth="1"/>
    <col min="13065" max="13065" width="40.7109375" style="464" customWidth="1"/>
    <col min="13066" max="13066" width="16.5703125" style="464" customWidth="1"/>
    <col min="13067" max="13068" width="14.5703125" style="464" customWidth="1"/>
    <col min="13069" max="13069" width="12.5703125" style="464" customWidth="1"/>
    <col min="13070" max="13070" width="14.85546875" style="464" customWidth="1"/>
    <col min="13071" max="13071" width="17.85546875" style="464" customWidth="1"/>
    <col min="13072" max="13072" width="33.5703125" style="464" customWidth="1"/>
    <col min="13073" max="13073" width="32.28515625" style="464" customWidth="1"/>
    <col min="13074" max="13312" width="9.140625" style="464"/>
    <col min="13313" max="13313" width="10.42578125" style="464" bestFit="1" customWidth="1"/>
    <col min="13314" max="13314" width="38.140625" style="464" customWidth="1"/>
    <col min="13315" max="13315" width="18.85546875" style="464" customWidth="1"/>
    <col min="13316" max="13319" width="12.140625" style="464" customWidth="1"/>
    <col min="13320" max="13320" width="12.5703125" style="464" customWidth="1"/>
    <col min="13321" max="13321" width="40.7109375" style="464" customWidth="1"/>
    <col min="13322" max="13322" width="16.5703125" style="464" customWidth="1"/>
    <col min="13323" max="13324" width="14.5703125" style="464" customWidth="1"/>
    <col min="13325" max="13325" width="12.5703125" style="464" customWidth="1"/>
    <col min="13326" max="13326" width="14.85546875" style="464" customWidth="1"/>
    <col min="13327" max="13327" width="17.85546875" style="464" customWidth="1"/>
    <col min="13328" max="13328" width="33.5703125" style="464" customWidth="1"/>
    <col min="13329" max="13329" width="32.28515625" style="464" customWidth="1"/>
    <col min="13330" max="13568" width="9.140625" style="464"/>
    <col min="13569" max="13569" width="10.42578125" style="464" bestFit="1" customWidth="1"/>
    <col min="13570" max="13570" width="38.140625" style="464" customWidth="1"/>
    <col min="13571" max="13571" width="18.85546875" style="464" customWidth="1"/>
    <col min="13572" max="13575" width="12.140625" style="464" customWidth="1"/>
    <col min="13576" max="13576" width="12.5703125" style="464" customWidth="1"/>
    <col min="13577" max="13577" width="40.7109375" style="464" customWidth="1"/>
    <col min="13578" max="13578" width="16.5703125" style="464" customWidth="1"/>
    <col min="13579" max="13580" width="14.5703125" style="464" customWidth="1"/>
    <col min="13581" max="13581" width="12.5703125" style="464" customWidth="1"/>
    <col min="13582" max="13582" width="14.85546875" style="464" customWidth="1"/>
    <col min="13583" max="13583" width="17.85546875" style="464" customWidth="1"/>
    <col min="13584" max="13584" width="33.5703125" style="464" customWidth="1"/>
    <col min="13585" max="13585" width="32.28515625" style="464" customWidth="1"/>
    <col min="13586" max="13824" width="9.140625" style="464"/>
    <col min="13825" max="13825" width="10.42578125" style="464" bestFit="1" customWidth="1"/>
    <col min="13826" max="13826" width="38.140625" style="464" customWidth="1"/>
    <col min="13827" max="13827" width="18.85546875" style="464" customWidth="1"/>
    <col min="13828" max="13831" width="12.140625" style="464" customWidth="1"/>
    <col min="13832" max="13832" width="12.5703125" style="464" customWidth="1"/>
    <col min="13833" max="13833" width="40.7109375" style="464" customWidth="1"/>
    <col min="13834" max="13834" width="16.5703125" style="464" customWidth="1"/>
    <col min="13835" max="13836" width="14.5703125" style="464" customWidth="1"/>
    <col min="13837" max="13837" width="12.5703125" style="464" customWidth="1"/>
    <col min="13838" max="13838" width="14.85546875" style="464" customWidth="1"/>
    <col min="13839" max="13839" width="17.85546875" style="464" customWidth="1"/>
    <col min="13840" max="13840" width="33.5703125" style="464" customWidth="1"/>
    <col min="13841" max="13841" width="32.28515625" style="464" customWidth="1"/>
    <col min="13842" max="14080" width="9.140625" style="464"/>
    <col min="14081" max="14081" width="10.42578125" style="464" bestFit="1" customWidth="1"/>
    <col min="14082" max="14082" width="38.140625" style="464" customWidth="1"/>
    <col min="14083" max="14083" width="18.85546875" style="464" customWidth="1"/>
    <col min="14084" max="14087" width="12.140625" style="464" customWidth="1"/>
    <col min="14088" max="14088" width="12.5703125" style="464" customWidth="1"/>
    <col min="14089" max="14089" width="40.7109375" style="464" customWidth="1"/>
    <col min="14090" max="14090" width="16.5703125" style="464" customWidth="1"/>
    <col min="14091" max="14092" width="14.5703125" style="464" customWidth="1"/>
    <col min="14093" max="14093" width="12.5703125" style="464" customWidth="1"/>
    <col min="14094" max="14094" width="14.85546875" style="464" customWidth="1"/>
    <col min="14095" max="14095" width="17.85546875" style="464" customWidth="1"/>
    <col min="14096" max="14096" width="33.5703125" style="464" customWidth="1"/>
    <col min="14097" max="14097" width="32.28515625" style="464" customWidth="1"/>
    <col min="14098" max="14336" width="9.140625" style="464"/>
    <col min="14337" max="14337" width="10.42578125" style="464" bestFit="1" customWidth="1"/>
    <col min="14338" max="14338" width="38.140625" style="464" customWidth="1"/>
    <col min="14339" max="14339" width="18.85546875" style="464" customWidth="1"/>
    <col min="14340" max="14343" width="12.140625" style="464" customWidth="1"/>
    <col min="14344" max="14344" width="12.5703125" style="464" customWidth="1"/>
    <col min="14345" max="14345" width="40.7109375" style="464" customWidth="1"/>
    <col min="14346" max="14346" width="16.5703125" style="464" customWidth="1"/>
    <col min="14347" max="14348" width="14.5703125" style="464" customWidth="1"/>
    <col min="14349" max="14349" width="12.5703125" style="464" customWidth="1"/>
    <col min="14350" max="14350" width="14.85546875" style="464" customWidth="1"/>
    <col min="14351" max="14351" width="17.85546875" style="464" customWidth="1"/>
    <col min="14352" max="14352" width="33.5703125" style="464" customWidth="1"/>
    <col min="14353" max="14353" width="32.28515625" style="464" customWidth="1"/>
    <col min="14354" max="14592" width="9.140625" style="464"/>
    <col min="14593" max="14593" width="10.42578125" style="464" bestFit="1" customWidth="1"/>
    <col min="14594" max="14594" width="38.140625" style="464" customWidth="1"/>
    <col min="14595" max="14595" width="18.85546875" style="464" customWidth="1"/>
    <col min="14596" max="14599" width="12.140625" style="464" customWidth="1"/>
    <col min="14600" max="14600" width="12.5703125" style="464" customWidth="1"/>
    <col min="14601" max="14601" width="40.7109375" style="464" customWidth="1"/>
    <col min="14602" max="14602" width="16.5703125" style="464" customWidth="1"/>
    <col min="14603" max="14604" width="14.5703125" style="464" customWidth="1"/>
    <col min="14605" max="14605" width="12.5703125" style="464" customWidth="1"/>
    <col min="14606" max="14606" width="14.85546875" style="464" customWidth="1"/>
    <col min="14607" max="14607" width="17.85546875" style="464" customWidth="1"/>
    <col min="14608" max="14608" width="33.5703125" style="464" customWidth="1"/>
    <col min="14609" max="14609" width="32.28515625" style="464" customWidth="1"/>
    <col min="14610" max="14848" width="9.140625" style="464"/>
    <col min="14849" max="14849" width="10.42578125" style="464" bestFit="1" customWidth="1"/>
    <col min="14850" max="14850" width="38.140625" style="464" customWidth="1"/>
    <col min="14851" max="14851" width="18.85546875" style="464" customWidth="1"/>
    <col min="14852" max="14855" width="12.140625" style="464" customWidth="1"/>
    <col min="14856" max="14856" width="12.5703125" style="464" customWidth="1"/>
    <col min="14857" max="14857" width="40.7109375" style="464" customWidth="1"/>
    <col min="14858" max="14858" width="16.5703125" style="464" customWidth="1"/>
    <col min="14859" max="14860" width="14.5703125" style="464" customWidth="1"/>
    <col min="14861" max="14861" width="12.5703125" style="464" customWidth="1"/>
    <col min="14862" max="14862" width="14.85546875" style="464" customWidth="1"/>
    <col min="14863" max="14863" width="17.85546875" style="464" customWidth="1"/>
    <col min="14864" max="14864" width="33.5703125" style="464" customWidth="1"/>
    <col min="14865" max="14865" width="32.28515625" style="464" customWidth="1"/>
    <col min="14866" max="15104" width="9.140625" style="464"/>
    <col min="15105" max="15105" width="10.42578125" style="464" bestFit="1" customWidth="1"/>
    <col min="15106" max="15106" width="38.140625" style="464" customWidth="1"/>
    <col min="15107" max="15107" width="18.85546875" style="464" customWidth="1"/>
    <col min="15108" max="15111" width="12.140625" style="464" customWidth="1"/>
    <col min="15112" max="15112" width="12.5703125" style="464" customWidth="1"/>
    <col min="15113" max="15113" width="40.7109375" style="464" customWidth="1"/>
    <col min="15114" max="15114" width="16.5703125" style="464" customWidth="1"/>
    <col min="15115" max="15116" width="14.5703125" style="464" customWidth="1"/>
    <col min="15117" max="15117" width="12.5703125" style="464" customWidth="1"/>
    <col min="15118" max="15118" width="14.85546875" style="464" customWidth="1"/>
    <col min="15119" max="15119" width="17.85546875" style="464" customWidth="1"/>
    <col min="15120" max="15120" width="33.5703125" style="464" customWidth="1"/>
    <col min="15121" max="15121" width="32.28515625" style="464" customWidth="1"/>
    <col min="15122" max="15360" width="9.140625" style="464"/>
    <col min="15361" max="15361" width="10.42578125" style="464" bestFit="1" customWidth="1"/>
    <col min="15362" max="15362" width="38.140625" style="464" customWidth="1"/>
    <col min="15363" max="15363" width="18.85546875" style="464" customWidth="1"/>
    <col min="15364" max="15367" width="12.140625" style="464" customWidth="1"/>
    <col min="15368" max="15368" width="12.5703125" style="464" customWidth="1"/>
    <col min="15369" max="15369" width="40.7109375" style="464" customWidth="1"/>
    <col min="15370" max="15370" width="16.5703125" style="464" customWidth="1"/>
    <col min="15371" max="15372" width="14.5703125" style="464" customWidth="1"/>
    <col min="15373" max="15373" width="12.5703125" style="464" customWidth="1"/>
    <col min="15374" max="15374" width="14.85546875" style="464" customWidth="1"/>
    <col min="15375" max="15375" width="17.85546875" style="464" customWidth="1"/>
    <col min="15376" max="15376" width="33.5703125" style="464" customWidth="1"/>
    <col min="15377" max="15377" width="32.28515625" style="464" customWidth="1"/>
    <col min="15378" max="15616" width="9.140625" style="464"/>
    <col min="15617" max="15617" width="10.42578125" style="464" bestFit="1" customWidth="1"/>
    <col min="15618" max="15618" width="38.140625" style="464" customWidth="1"/>
    <col min="15619" max="15619" width="18.85546875" style="464" customWidth="1"/>
    <col min="15620" max="15623" width="12.140625" style="464" customWidth="1"/>
    <col min="15624" max="15624" width="12.5703125" style="464" customWidth="1"/>
    <col min="15625" max="15625" width="40.7109375" style="464" customWidth="1"/>
    <col min="15626" max="15626" width="16.5703125" style="464" customWidth="1"/>
    <col min="15627" max="15628" width="14.5703125" style="464" customWidth="1"/>
    <col min="15629" max="15629" width="12.5703125" style="464" customWidth="1"/>
    <col min="15630" max="15630" width="14.85546875" style="464" customWidth="1"/>
    <col min="15631" max="15631" width="17.85546875" style="464" customWidth="1"/>
    <col min="15632" max="15632" width="33.5703125" style="464" customWidth="1"/>
    <col min="15633" max="15633" width="32.28515625" style="464" customWidth="1"/>
    <col min="15634" max="15872" width="9.140625" style="464"/>
    <col min="15873" max="15873" width="10.42578125" style="464" bestFit="1" customWidth="1"/>
    <col min="15874" max="15874" width="38.140625" style="464" customWidth="1"/>
    <col min="15875" max="15875" width="18.85546875" style="464" customWidth="1"/>
    <col min="15876" max="15879" width="12.140625" style="464" customWidth="1"/>
    <col min="15880" max="15880" width="12.5703125" style="464" customWidth="1"/>
    <col min="15881" max="15881" width="40.7109375" style="464" customWidth="1"/>
    <col min="15882" max="15882" width="16.5703125" style="464" customWidth="1"/>
    <col min="15883" max="15884" width="14.5703125" style="464" customWidth="1"/>
    <col min="15885" max="15885" width="12.5703125" style="464" customWidth="1"/>
    <col min="15886" max="15886" width="14.85546875" style="464" customWidth="1"/>
    <col min="15887" max="15887" width="17.85546875" style="464" customWidth="1"/>
    <col min="15888" max="15888" width="33.5703125" style="464" customWidth="1"/>
    <col min="15889" max="15889" width="32.28515625" style="464" customWidth="1"/>
    <col min="15890" max="16128" width="9.140625" style="464"/>
    <col min="16129" max="16129" width="10.42578125" style="464" bestFit="1" customWidth="1"/>
    <col min="16130" max="16130" width="38.140625" style="464" customWidth="1"/>
    <col min="16131" max="16131" width="18.85546875" style="464" customWidth="1"/>
    <col min="16132" max="16135" width="12.140625" style="464" customWidth="1"/>
    <col min="16136" max="16136" width="12.5703125" style="464" customWidth="1"/>
    <col min="16137" max="16137" width="40.7109375" style="464" customWidth="1"/>
    <col min="16138" max="16138" width="16.5703125" style="464" customWidth="1"/>
    <col min="16139" max="16140" width="14.5703125" style="464" customWidth="1"/>
    <col min="16141" max="16141" width="12.5703125" style="464" customWidth="1"/>
    <col min="16142" max="16142" width="14.85546875" style="464" customWidth="1"/>
    <col min="16143" max="16143" width="17.85546875" style="464" customWidth="1"/>
    <col min="16144" max="16144" width="33.5703125" style="464" customWidth="1"/>
    <col min="16145" max="16145" width="32.28515625" style="464" customWidth="1"/>
    <col min="16146" max="16384" width="9.140625" style="464"/>
  </cols>
  <sheetData>
    <row r="1" spans="1:17" x14ac:dyDescent="0.25">
      <c r="A1" s="461"/>
      <c r="B1" s="462"/>
      <c r="C1" s="461"/>
      <c r="D1" s="463"/>
      <c r="E1" s="463"/>
      <c r="F1" s="463"/>
      <c r="G1" s="461"/>
      <c r="H1" s="461"/>
      <c r="I1" s="462"/>
      <c r="J1" s="461"/>
      <c r="K1" s="461"/>
      <c r="L1" s="461"/>
      <c r="M1" s="461"/>
      <c r="N1" s="461"/>
      <c r="O1" s="461"/>
      <c r="P1" s="461"/>
    </row>
    <row r="2" spans="1:17" ht="40.5" customHeight="1" x14ac:dyDescent="0.25">
      <c r="A2" s="568" t="s">
        <v>0</v>
      </c>
      <c r="B2" s="568"/>
      <c r="C2" s="568"/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  <c r="O2" s="568"/>
      <c r="P2" s="568"/>
    </row>
    <row r="3" spans="1:17" ht="20.25" customHeight="1" x14ac:dyDescent="0.25">
      <c r="A3" s="568" t="s">
        <v>286</v>
      </c>
      <c r="B3" s="568"/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8"/>
      <c r="P3" s="568"/>
    </row>
    <row r="4" spans="1:17" ht="24" customHeight="1" x14ac:dyDescent="0.25">
      <c r="A4" s="568" t="s">
        <v>74</v>
      </c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</row>
    <row r="5" spans="1:17" ht="16.5" customHeight="1" x14ac:dyDescent="0.25">
      <c r="A5" s="568" t="s">
        <v>33</v>
      </c>
      <c r="B5" s="568"/>
      <c r="C5" s="568"/>
      <c r="D5" s="568"/>
      <c r="E5" s="568"/>
      <c r="F5" s="568"/>
      <c r="G5" s="568"/>
      <c r="H5" s="568"/>
      <c r="I5" s="568"/>
      <c r="J5" s="568"/>
      <c r="K5" s="568"/>
      <c r="L5" s="568"/>
      <c r="M5" s="568"/>
      <c r="N5" s="568"/>
      <c r="O5" s="568"/>
      <c r="P5" s="568"/>
    </row>
    <row r="6" spans="1:17" ht="20.25" x14ac:dyDescent="0.25">
      <c r="A6" s="568" t="s">
        <v>563</v>
      </c>
      <c r="B6" s="568"/>
      <c r="C6" s="568"/>
      <c r="D6" s="568"/>
      <c r="E6" s="568"/>
      <c r="F6" s="568"/>
      <c r="G6" s="568"/>
      <c r="H6" s="568"/>
      <c r="I6" s="568"/>
      <c r="J6" s="568"/>
      <c r="K6" s="568"/>
      <c r="L6" s="568"/>
      <c r="M6" s="568"/>
      <c r="N6" s="568"/>
      <c r="O6" s="568"/>
      <c r="P6" s="568"/>
    </row>
    <row r="7" spans="1:17" x14ac:dyDescent="0.25">
      <c r="A7" s="465"/>
      <c r="B7" s="466"/>
      <c r="C7" s="465"/>
      <c r="D7" s="467"/>
      <c r="E7" s="465"/>
      <c r="F7" s="465"/>
      <c r="G7" s="465"/>
      <c r="H7" s="465"/>
      <c r="I7" s="466"/>
      <c r="J7" s="465"/>
      <c r="K7" s="465"/>
      <c r="L7" s="465"/>
      <c r="M7" s="465"/>
      <c r="N7" s="465"/>
      <c r="O7" s="465"/>
      <c r="P7" s="461"/>
    </row>
    <row r="8" spans="1:17" ht="16.5" customHeight="1" x14ac:dyDescent="0.25">
      <c r="A8" s="468"/>
      <c r="B8" s="566" t="s">
        <v>2</v>
      </c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  <c r="P8" s="567"/>
      <c r="Q8" s="567"/>
    </row>
    <row r="9" spans="1:17" x14ac:dyDescent="0.25">
      <c r="A9" s="468"/>
      <c r="B9" s="569" t="s">
        <v>70</v>
      </c>
      <c r="C9" s="569"/>
      <c r="D9" s="569"/>
      <c r="E9" s="569"/>
      <c r="F9" s="569"/>
      <c r="G9" s="569"/>
      <c r="H9" s="569" t="s">
        <v>71</v>
      </c>
      <c r="I9" s="570"/>
      <c r="J9" s="570"/>
      <c r="K9" s="570"/>
      <c r="L9" s="570"/>
      <c r="M9" s="570"/>
      <c r="N9" s="570"/>
      <c r="O9" s="569" t="s">
        <v>24</v>
      </c>
      <c r="P9" s="569"/>
      <c r="Q9" s="571"/>
    </row>
    <row r="10" spans="1:17" ht="44.25" customHeight="1" x14ac:dyDescent="0.25">
      <c r="A10" s="468" t="s">
        <v>1</v>
      </c>
      <c r="B10" s="469" t="s">
        <v>5</v>
      </c>
      <c r="C10" s="468" t="s">
        <v>11</v>
      </c>
      <c r="D10" s="470" t="s">
        <v>597</v>
      </c>
      <c r="E10" s="470" t="s">
        <v>598</v>
      </c>
      <c r="F10" s="470" t="s">
        <v>599</v>
      </c>
      <c r="G10" s="470" t="s">
        <v>600</v>
      </c>
      <c r="H10" s="468" t="s">
        <v>1</v>
      </c>
      <c r="I10" s="469" t="s">
        <v>5</v>
      </c>
      <c r="J10" s="468" t="s">
        <v>11</v>
      </c>
      <c r="K10" s="470" t="s">
        <v>601</v>
      </c>
      <c r="L10" s="470" t="s">
        <v>602</v>
      </c>
      <c r="M10" s="470" t="s">
        <v>603</v>
      </c>
      <c r="N10" s="470" t="s">
        <v>604</v>
      </c>
      <c r="O10" s="470" t="s">
        <v>605</v>
      </c>
      <c r="P10" s="468" t="s">
        <v>422</v>
      </c>
      <c r="Q10" s="468" t="s">
        <v>423</v>
      </c>
    </row>
    <row r="11" spans="1:17" s="473" customFormat="1" x14ac:dyDescent="0.2">
      <c r="A11" s="471">
        <v>1</v>
      </c>
      <c r="B11" s="472">
        <v>2</v>
      </c>
      <c r="C11" s="471">
        <v>3</v>
      </c>
      <c r="D11" s="472">
        <v>4</v>
      </c>
      <c r="E11" s="471">
        <v>5</v>
      </c>
      <c r="F11" s="472">
        <v>6</v>
      </c>
      <c r="G11" s="471">
        <v>7</v>
      </c>
      <c r="H11" s="472">
        <v>8</v>
      </c>
      <c r="I11" s="471">
        <v>9</v>
      </c>
      <c r="J11" s="472">
        <v>10</v>
      </c>
      <c r="K11" s="471">
        <v>11</v>
      </c>
      <c r="L11" s="472">
        <v>12</v>
      </c>
      <c r="M11" s="471">
        <v>13</v>
      </c>
      <c r="N11" s="472">
        <v>14</v>
      </c>
      <c r="O11" s="471">
        <v>15</v>
      </c>
      <c r="P11" s="472">
        <v>16</v>
      </c>
      <c r="Q11" s="472">
        <v>17</v>
      </c>
    </row>
    <row r="12" spans="1:17" ht="132" customHeight="1" x14ac:dyDescent="0.25">
      <c r="A12" s="468" t="s">
        <v>12</v>
      </c>
      <c r="B12" s="469" t="s">
        <v>399</v>
      </c>
      <c r="C12" s="468"/>
      <c r="D12" s="474"/>
      <c r="E12" s="474"/>
      <c r="F12" s="475"/>
      <c r="G12" s="475"/>
      <c r="H12" s="468" t="str">
        <f>A12</f>
        <v>I</v>
      </c>
      <c r="I12" s="469" t="str">
        <f>B12</f>
        <v>Организация мероприятий, направленных на профилактику асоциального поведения подростков и молодежи, поддержка детей и молодежи, находящейся в социально-опасном положении</v>
      </c>
      <c r="J12" s="471"/>
      <c r="K12" s="476"/>
      <c r="L12" s="476"/>
      <c r="M12" s="475"/>
      <c r="N12" s="477"/>
      <c r="O12" s="478"/>
      <c r="P12" s="468"/>
      <c r="Q12" s="572" t="s">
        <v>280</v>
      </c>
    </row>
    <row r="13" spans="1:17" ht="33" x14ac:dyDescent="0.25">
      <c r="A13" s="471" t="s">
        <v>7</v>
      </c>
      <c r="B13" s="479" t="s">
        <v>332</v>
      </c>
      <c r="C13" s="471" t="s">
        <v>38</v>
      </c>
      <c r="D13" s="480">
        <v>600</v>
      </c>
      <c r="E13" s="481">
        <v>772</v>
      </c>
      <c r="F13" s="476">
        <f>IF(E13/D13*100&gt;100,100,E13/D13*100)</f>
        <v>100</v>
      </c>
      <c r="G13" s="475"/>
      <c r="H13" s="471" t="s">
        <v>7</v>
      </c>
      <c r="I13" s="479" t="s">
        <v>40</v>
      </c>
      <c r="J13" s="471" t="s">
        <v>41</v>
      </c>
      <c r="K13" s="471">
        <v>96</v>
      </c>
      <c r="L13" s="471">
        <v>96</v>
      </c>
      <c r="M13" s="476">
        <f>IF(L13/K13*100&gt;110,110,L13/K13*100)</f>
        <v>100</v>
      </c>
      <c r="N13" s="477"/>
      <c r="O13" s="478"/>
      <c r="P13" s="482"/>
      <c r="Q13" s="572"/>
    </row>
    <row r="14" spans="1:17" ht="49.5" x14ac:dyDescent="0.25">
      <c r="A14" s="471" t="s">
        <v>8</v>
      </c>
      <c r="B14" s="479" t="s">
        <v>362</v>
      </c>
      <c r="C14" s="471" t="s">
        <v>25</v>
      </c>
      <c r="D14" s="481">
        <v>100</v>
      </c>
      <c r="E14" s="481">
        <v>100</v>
      </c>
      <c r="F14" s="476">
        <f t="shared" ref="F14:F15" si="0">IF(E14/D14*100&gt;100,100,E14/D14*100)</f>
        <v>100</v>
      </c>
      <c r="G14" s="475"/>
      <c r="H14" s="471"/>
      <c r="I14" s="479"/>
      <c r="J14" s="471"/>
      <c r="K14" s="471"/>
      <c r="L14" s="471"/>
      <c r="M14" s="476"/>
      <c r="N14" s="477"/>
      <c r="O14" s="478"/>
      <c r="P14" s="482"/>
      <c r="Q14" s="572"/>
    </row>
    <row r="15" spans="1:17" ht="49.5" x14ac:dyDescent="0.25">
      <c r="A15" s="471" t="s">
        <v>9</v>
      </c>
      <c r="B15" s="479" t="s">
        <v>258</v>
      </c>
      <c r="C15" s="471" t="s">
        <v>38</v>
      </c>
      <c r="D15" s="481">
        <v>9</v>
      </c>
      <c r="E15" s="481">
        <v>5</v>
      </c>
      <c r="F15" s="476">
        <f t="shared" si="0"/>
        <v>55.555555555555557</v>
      </c>
      <c r="G15" s="475"/>
      <c r="H15" s="471"/>
      <c r="I15" s="479"/>
      <c r="J15" s="471"/>
      <c r="K15" s="471"/>
      <c r="L15" s="471"/>
      <c r="M15" s="476"/>
      <c r="N15" s="477"/>
      <c r="O15" s="478"/>
      <c r="P15" s="482"/>
      <c r="Q15" s="572"/>
    </row>
    <row r="16" spans="1:17" ht="39" customHeight="1" x14ac:dyDescent="0.25">
      <c r="A16" s="471"/>
      <c r="B16" s="21" t="s">
        <v>6</v>
      </c>
      <c r="C16" s="483"/>
      <c r="D16" s="483"/>
      <c r="E16" s="483"/>
      <c r="F16" s="484"/>
      <c r="G16" s="484">
        <f>(F14+F15+F13)/3</f>
        <v>85.185185185185176</v>
      </c>
      <c r="H16" s="485"/>
      <c r="I16" s="21" t="s">
        <v>6</v>
      </c>
      <c r="J16" s="485"/>
      <c r="K16" s="485"/>
      <c r="L16" s="485"/>
      <c r="M16" s="484"/>
      <c r="N16" s="484">
        <f>M13</f>
        <v>100</v>
      </c>
      <c r="O16" s="484">
        <f>(G16+N16)/2</f>
        <v>92.592592592592581</v>
      </c>
      <c r="P16" s="483" t="s">
        <v>280</v>
      </c>
      <c r="Q16" s="572"/>
    </row>
    <row r="17" spans="1:17" ht="210.75" customHeight="1" x14ac:dyDescent="0.25">
      <c r="A17" s="468" t="s">
        <v>13</v>
      </c>
      <c r="B17" s="469" t="s">
        <v>253</v>
      </c>
      <c r="C17" s="468"/>
      <c r="D17" s="474"/>
      <c r="E17" s="474"/>
      <c r="F17" s="475"/>
      <c r="G17" s="475"/>
      <c r="H17" s="468" t="str">
        <f>A17</f>
        <v>II</v>
      </c>
      <c r="I17" s="469" t="str">
        <f>B17</f>
        <v>Организация мероприятий в сфере молодежной политики, направленных на формирование системы развития талантливой и инициативной молодежи, создание условий для самореализации подростков и молодежи, развитие творческого, профессионального, интеллектуального потенциалов подростков и молодежи</v>
      </c>
      <c r="J17" s="471"/>
      <c r="K17" s="476"/>
      <c r="L17" s="476"/>
      <c r="M17" s="475"/>
      <c r="N17" s="477"/>
      <c r="O17" s="478"/>
      <c r="P17" s="468"/>
      <c r="Q17" s="572"/>
    </row>
    <row r="18" spans="1:17" ht="33" x14ac:dyDescent="0.25">
      <c r="A18" s="471" t="s">
        <v>14</v>
      </c>
      <c r="B18" s="479" t="s">
        <v>332</v>
      </c>
      <c r="C18" s="471" t="s">
        <v>38</v>
      </c>
      <c r="D18" s="480">
        <v>4000</v>
      </c>
      <c r="E18" s="481">
        <v>4425</v>
      </c>
      <c r="F18" s="476">
        <f t="shared" ref="F18:F19" si="1">IF(E18/D18*100&gt;100,100,E18/D18*100)</f>
        <v>100</v>
      </c>
      <c r="G18" s="475"/>
      <c r="H18" s="471" t="str">
        <f>A18</f>
        <v>2.1.</v>
      </c>
      <c r="I18" s="479" t="s">
        <v>40</v>
      </c>
      <c r="J18" s="471" t="s">
        <v>41</v>
      </c>
      <c r="K18" s="471">
        <v>48</v>
      </c>
      <c r="L18" s="471">
        <v>47</v>
      </c>
      <c r="M18" s="476">
        <f>IF(L18/K18*100&gt;110,110,L18/K18*100)</f>
        <v>97.916666666666657</v>
      </c>
      <c r="N18" s="477"/>
      <c r="O18" s="478"/>
      <c r="P18" s="482"/>
      <c r="Q18" s="572"/>
    </row>
    <row r="19" spans="1:17" ht="49.5" x14ac:dyDescent="0.25">
      <c r="A19" s="471" t="s">
        <v>15</v>
      </c>
      <c r="B19" s="479" t="s">
        <v>362</v>
      </c>
      <c r="C19" s="471" t="s">
        <v>25</v>
      </c>
      <c r="D19" s="481">
        <v>100</v>
      </c>
      <c r="E19" s="481">
        <v>100</v>
      </c>
      <c r="F19" s="476">
        <f t="shared" si="1"/>
        <v>100</v>
      </c>
      <c r="G19" s="475"/>
      <c r="H19" s="471"/>
      <c r="I19" s="479"/>
      <c r="J19" s="471"/>
      <c r="K19" s="471"/>
      <c r="L19" s="471"/>
      <c r="M19" s="476"/>
      <c r="N19" s="477"/>
      <c r="O19" s="478"/>
      <c r="P19" s="482"/>
      <c r="Q19" s="572"/>
    </row>
    <row r="20" spans="1:17" ht="43.5" customHeight="1" x14ac:dyDescent="0.25">
      <c r="A20" s="471"/>
      <c r="B20" s="21" t="s">
        <v>6</v>
      </c>
      <c r="C20" s="483"/>
      <c r="D20" s="483"/>
      <c r="E20" s="483"/>
      <c r="F20" s="484"/>
      <c r="G20" s="484">
        <f>(F18+F19)/2</f>
        <v>100</v>
      </c>
      <c r="H20" s="485"/>
      <c r="I20" s="21" t="s">
        <v>6</v>
      </c>
      <c r="J20" s="485"/>
      <c r="K20" s="485"/>
      <c r="L20" s="485"/>
      <c r="M20" s="484"/>
      <c r="N20" s="484">
        <f>M18</f>
        <v>97.916666666666657</v>
      </c>
      <c r="O20" s="484">
        <f>(G20+N20)/2</f>
        <v>98.958333333333329</v>
      </c>
      <c r="P20" s="483" t="s">
        <v>280</v>
      </c>
      <c r="Q20" s="572"/>
    </row>
    <row r="21" spans="1:17" ht="175.5" customHeight="1" x14ac:dyDescent="0.25">
      <c r="A21" s="468" t="s">
        <v>28</v>
      </c>
      <c r="B21" s="469" t="s">
        <v>254</v>
      </c>
      <c r="C21" s="468"/>
      <c r="D21" s="474"/>
      <c r="E21" s="474"/>
      <c r="F21" s="475"/>
      <c r="G21" s="475"/>
      <c r="H21" s="468" t="str">
        <f>A21</f>
        <v>III</v>
      </c>
      <c r="I21" s="469" t="str">
        <f>B21</f>
        <v>Организация мероприятий в сфере молодежной политики, направленных на гражданское и патриотическое воспитание молодежи, воспитание толерантности в молодежной среде, формирование правовых, культурных и нравственных ценностей среди молодежи</v>
      </c>
      <c r="J21" s="471"/>
      <c r="K21" s="471"/>
      <c r="L21" s="471"/>
      <c r="M21" s="475"/>
      <c r="N21" s="477"/>
      <c r="O21" s="478"/>
      <c r="P21" s="468"/>
      <c r="Q21" s="572"/>
    </row>
    <row r="22" spans="1:17" ht="33" x14ac:dyDescent="0.25">
      <c r="A22" s="471" t="s">
        <v>29</v>
      </c>
      <c r="B22" s="479" t="s">
        <v>624</v>
      </c>
      <c r="C22" s="471" t="s">
        <v>38</v>
      </c>
      <c r="D22" s="480">
        <v>4000</v>
      </c>
      <c r="E22" s="481">
        <v>3975</v>
      </c>
      <c r="F22" s="476">
        <f t="shared" ref="F22:F24" si="2">IF(E22/D22*100&gt;100,100,E22/D22*100)</f>
        <v>99.375</v>
      </c>
      <c r="G22" s="475"/>
      <c r="H22" s="471" t="s">
        <v>135</v>
      </c>
      <c r="I22" s="479" t="s">
        <v>40</v>
      </c>
      <c r="J22" s="471" t="s">
        <v>41</v>
      </c>
      <c r="K22" s="471">
        <v>48</v>
      </c>
      <c r="L22" s="471">
        <v>65</v>
      </c>
      <c r="M22" s="476">
        <f>IF(L22/K22*100&gt;110,110,L22/K22*100)</f>
        <v>110</v>
      </c>
      <c r="N22" s="477"/>
      <c r="O22" s="478"/>
      <c r="P22" s="482"/>
      <c r="Q22" s="572"/>
    </row>
    <row r="23" spans="1:17" ht="33" x14ac:dyDescent="0.25">
      <c r="A23" s="471" t="s">
        <v>30</v>
      </c>
      <c r="B23" s="479" t="s">
        <v>363</v>
      </c>
      <c r="C23" s="471" t="s">
        <v>25</v>
      </c>
      <c r="D23" s="481">
        <v>100</v>
      </c>
      <c r="E23" s="481">
        <v>100</v>
      </c>
      <c r="F23" s="476">
        <f t="shared" si="2"/>
        <v>100</v>
      </c>
      <c r="G23" s="475"/>
      <c r="H23" s="471"/>
      <c r="I23" s="479"/>
      <c r="J23" s="471"/>
      <c r="K23" s="471"/>
      <c r="L23" s="471"/>
      <c r="M23" s="476"/>
      <c r="N23" s="477"/>
      <c r="O23" s="478"/>
      <c r="P23" s="482"/>
      <c r="Q23" s="572"/>
    </row>
    <row r="24" spans="1:17" ht="49.5" x14ac:dyDescent="0.25">
      <c r="A24" s="471" t="s">
        <v>52</v>
      </c>
      <c r="B24" s="479" t="s">
        <v>362</v>
      </c>
      <c r="C24" s="471" t="s">
        <v>25</v>
      </c>
      <c r="D24" s="481">
        <v>100</v>
      </c>
      <c r="E24" s="481">
        <v>100</v>
      </c>
      <c r="F24" s="476">
        <f t="shared" si="2"/>
        <v>100</v>
      </c>
      <c r="G24" s="475"/>
      <c r="H24" s="471"/>
      <c r="I24" s="479"/>
      <c r="J24" s="471"/>
      <c r="K24" s="471"/>
      <c r="L24" s="471"/>
      <c r="M24" s="476"/>
      <c r="N24" s="477"/>
      <c r="O24" s="478"/>
      <c r="P24" s="482"/>
      <c r="Q24" s="572"/>
    </row>
    <row r="25" spans="1:17" ht="63" customHeight="1" x14ac:dyDescent="0.25">
      <c r="A25" s="471"/>
      <c r="B25" s="21" t="s">
        <v>6</v>
      </c>
      <c r="C25" s="483"/>
      <c r="D25" s="483"/>
      <c r="E25" s="483"/>
      <c r="F25" s="484"/>
      <c r="G25" s="484">
        <f>(F23+F24+F22)/3</f>
        <v>99.791666666666671</v>
      </c>
      <c r="H25" s="485"/>
      <c r="I25" s="21" t="s">
        <v>6</v>
      </c>
      <c r="J25" s="485"/>
      <c r="K25" s="485"/>
      <c r="L25" s="485"/>
      <c r="M25" s="484"/>
      <c r="N25" s="484">
        <f>M22</f>
        <v>110</v>
      </c>
      <c r="O25" s="484">
        <f>(G25+N25)/2</f>
        <v>104.89583333333334</v>
      </c>
      <c r="P25" s="483" t="s">
        <v>279</v>
      </c>
      <c r="Q25" s="572"/>
    </row>
    <row r="26" spans="1:17" s="486" customFormat="1" ht="188.25" customHeight="1" x14ac:dyDescent="0.25">
      <c r="A26" s="468" t="s">
        <v>42</v>
      </c>
      <c r="B26" s="469" t="s">
        <v>255</v>
      </c>
      <c r="C26" s="468"/>
      <c r="D26" s="474"/>
      <c r="E26" s="474"/>
      <c r="F26" s="475"/>
      <c r="G26" s="475"/>
      <c r="H26" s="468" t="str">
        <f>A26</f>
        <v>IV</v>
      </c>
      <c r="I26" s="469" t="str">
        <f>B26</f>
        <v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также на развитие гражданской активности молодежи и формирование здорового образа жизни</v>
      </c>
      <c r="J26" s="471"/>
      <c r="K26" s="471"/>
      <c r="L26" s="471"/>
      <c r="M26" s="475"/>
      <c r="N26" s="477"/>
      <c r="O26" s="478"/>
      <c r="P26" s="468"/>
      <c r="Q26" s="572"/>
    </row>
    <row r="27" spans="1:17" ht="33" x14ac:dyDescent="0.25">
      <c r="A27" s="471" t="s">
        <v>43</v>
      </c>
      <c r="B27" s="479" t="s">
        <v>624</v>
      </c>
      <c r="C27" s="471" t="s">
        <v>38</v>
      </c>
      <c r="D27" s="480">
        <v>4000</v>
      </c>
      <c r="E27" s="481">
        <v>6231</v>
      </c>
      <c r="F27" s="476">
        <f t="shared" ref="F27:F28" si="3">IF(E27/D27*100&gt;100,100,E27/D27*100)</f>
        <v>100</v>
      </c>
      <c r="G27" s="475"/>
      <c r="H27" s="471" t="s">
        <v>334</v>
      </c>
      <c r="I27" s="479" t="s">
        <v>40</v>
      </c>
      <c r="J27" s="471" t="s">
        <v>41</v>
      </c>
      <c r="K27" s="471">
        <v>48</v>
      </c>
      <c r="L27" s="471">
        <v>52</v>
      </c>
      <c r="M27" s="476">
        <f>IF(L27/K27*100&gt;110,110,L27/K27*100)</f>
        <v>108.33333333333333</v>
      </c>
      <c r="N27" s="477"/>
      <c r="O27" s="478"/>
      <c r="P27" s="482"/>
      <c r="Q27" s="572"/>
    </row>
    <row r="28" spans="1:17" ht="49.5" x14ac:dyDescent="0.25">
      <c r="A28" s="471" t="s">
        <v>137</v>
      </c>
      <c r="B28" s="479" t="s">
        <v>362</v>
      </c>
      <c r="C28" s="471" t="s">
        <v>25</v>
      </c>
      <c r="D28" s="481">
        <v>100</v>
      </c>
      <c r="E28" s="481">
        <v>100</v>
      </c>
      <c r="F28" s="476">
        <f t="shared" si="3"/>
        <v>100</v>
      </c>
      <c r="G28" s="475"/>
      <c r="H28" s="471"/>
      <c r="I28" s="479"/>
      <c r="J28" s="471"/>
      <c r="K28" s="471"/>
      <c r="L28" s="471"/>
      <c r="M28" s="476"/>
      <c r="N28" s="477"/>
      <c r="O28" s="478"/>
      <c r="P28" s="482"/>
      <c r="Q28" s="572"/>
    </row>
    <row r="29" spans="1:17" ht="46.5" customHeight="1" x14ac:dyDescent="0.25">
      <c r="A29" s="471"/>
      <c r="B29" s="21" t="s">
        <v>6</v>
      </c>
      <c r="C29" s="483"/>
      <c r="D29" s="483"/>
      <c r="E29" s="483"/>
      <c r="F29" s="484"/>
      <c r="G29" s="484">
        <f>(F27+F28)/2</f>
        <v>100</v>
      </c>
      <c r="H29" s="485"/>
      <c r="I29" s="21" t="s">
        <v>6</v>
      </c>
      <c r="J29" s="485"/>
      <c r="K29" s="485"/>
      <c r="L29" s="485"/>
      <c r="M29" s="484"/>
      <c r="N29" s="484">
        <f>M27</f>
        <v>108.33333333333333</v>
      </c>
      <c r="O29" s="484">
        <f>(G29+N29)/2</f>
        <v>104.16666666666666</v>
      </c>
      <c r="P29" s="483" t="s">
        <v>279</v>
      </c>
      <c r="Q29" s="572"/>
    </row>
    <row r="30" spans="1:17" ht="81" customHeight="1" x14ac:dyDescent="0.25">
      <c r="A30" s="468" t="s">
        <v>164</v>
      </c>
      <c r="B30" s="469" t="s">
        <v>256</v>
      </c>
      <c r="C30" s="468"/>
      <c r="D30" s="474"/>
      <c r="E30" s="481"/>
      <c r="F30" s="475"/>
      <c r="G30" s="475"/>
      <c r="H30" s="468" t="str">
        <f>A30</f>
        <v>V</v>
      </c>
      <c r="I30" s="469" t="str">
        <f>B30</f>
        <v>Организация досуга детей, подростков и молодежи 
(иная досуговая деятельность)</v>
      </c>
      <c r="J30" s="471"/>
      <c r="K30" s="471"/>
      <c r="L30" s="471"/>
      <c r="M30" s="475"/>
      <c r="N30" s="477"/>
      <c r="O30" s="478"/>
      <c r="P30" s="468"/>
      <c r="Q30" s="572"/>
    </row>
    <row r="31" spans="1:17" ht="33" x14ac:dyDescent="0.25">
      <c r="A31" s="471" t="s">
        <v>165</v>
      </c>
      <c r="B31" s="479" t="s">
        <v>364</v>
      </c>
      <c r="C31" s="471" t="s">
        <v>38</v>
      </c>
      <c r="D31" s="480">
        <v>6000</v>
      </c>
      <c r="E31" s="481">
        <v>7253</v>
      </c>
      <c r="F31" s="476">
        <f t="shared" ref="F31:F33" si="4">IF(E31/D31*100&gt;100,100,E31/D31*100)</f>
        <v>100</v>
      </c>
      <c r="G31" s="476"/>
      <c r="H31" s="471" t="str">
        <f>A31</f>
        <v>5.1.</v>
      </c>
      <c r="I31" s="479" t="s">
        <v>335</v>
      </c>
      <c r="J31" s="471" t="s">
        <v>41</v>
      </c>
      <c r="K31" s="471">
        <v>48</v>
      </c>
      <c r="L31" s="471">
        <v>56</v>
      </c>
      <c r="M31" s="476">
        <f>IF(L31/K31*100&gt;110,110,L31/K31*100)</f>
        <v>110</v>
      </c>
      <c r="N31" s="487"/>
      <c r="O31" s="478"/>
      <c r="P31" s="482"/>
      <c r="Q31" s="572"/>
    </row>
    <row r="32" spans="1:17" ht="33" x14ac:dyDescent="0.25">
      <c r="A32" s="471" t="s">
        <v>166</v>
      </c>
      <c r="B32" s="479" t="s">
        <v>365</v>
      </c>
      <c r="C32" s="471" t="s">
        <v>41</v>
      </c>
      <c r="D32" s="481">
        <v>15</v>
      </c>
      <c r="E32" s="481">
        <v>56</v>
      </c>
      <c r="F32" s="476">
        <f t="shared" si="4"/>
        <v>100</v>
      </c>
      <c r="G32" s="476"/>
      <c r="H32" s="471"/>
      <c r="I32" s="479"/>
      <c r="J32" s="471"/>
      <c r="K32" s="471"/>
      <c r="L32" s="471"/>
      <c r="M32" s="476"/>
      <c r="N32" s="487"/>
      <c r="O32" s="478"/>
      <c r="P32" s="482"/>
      <c r="Q32" s="572"/>
    </row>
    <row r="33" spans="1:23" ht="49.5" x14ac:dyDescent="0.25">
      <c r="A33" s="471" t="s">
        <v>167</v>
      </c>
      <c r="B33" s="479" t="s">
        <v>333</v>
      </c>
      <c r="C33" s="471" t="s">
        <v>25</v>
      </c>
      <c r="D33" s="481">
        <v>100</v>
      </c>
      <c r="E33" s="476">
        <v>100</v>
      </c>
      <c r="F33" s="476">
        <f t="shared" si="4"/>
        <v>100</v>
      </c>
      <c r="G33" s="476"/>
      <c r="H33" s="471"/>
      <c r="I33" s="479"/>
      <c r="J33" s="471"/>
      <c r="K33" s="471"/>
      <c r="L33" s="471"/>
      <c r="M33" s="476"/>
      <c r="N33" s="487"/>
      <c r="O33" s="478"/>
      <c r="P33" s="482"/>
      <c r="Q33" s="572"/>
    </row>
    <row r="34" spans="1:23" ht="65.25" customHeight="1" x14ac:dyDescent="0.25">
      <c r="A34" s="471"/>
      <c r="B34" s="21" t="s">
        <v>6</v>
      </c>
      <c r="C34" s="483"/>
      <c r="D34" s="483"/>
      <c r="E34" s="483"/>
      <c r="F34" s="484"/>
      <c r="G34" s="484">
        <f>(F32+F33+F31)/3</f>
        <v>100</v>
      </c>
      <c r="H34" s="485"/>
      <c r="I34" s="21" t="s">
        <v>6</v>
      </c>
      <c r="J34" s="485"/>
      <c r="K34" s="485"/>
      <c r="L34" s="485"/>
      <c r="M34" s="484"/>
      <c r="N34" s="484">
        <f>M31</f>
        <v>110</v>
      </c>
      <c r="O34" s="484">
        <f>(G34+N34)/2</f>
        <v>105</v>
      </c>
      <c r="P34" s="483" t="s">
        <v>279</v>
      </c>
      <c r="Q34" s="572"/>
    </row>
    <row r="35" spans="1:23" ht="81" customHeight="1" x14ac:dyDescent="0.25">
      <c r="A35" s="468" t="s">
        <v>170</v>
      </c>
      <c r="B35" s="469" t="s">
        <v>257</v>
      </c>
      <c r="C35" s="468"/>
      <c r="D35" s="474"/>
      <c r="E35" s="474"/>
      <c r="F35" s="475"/>
      <c r="G35" s="475"/>
      <c r="H35" s="468" t="str">
        <f>A35</f>
        <v>VI</v>
      </c>
      <c r="I35" s="469" t="str">
        <f>B35</f>
        <v>Организация досуга детей, подростков и молодежи (общественные объединения)</v>
      </c>
      <c r="J35" s="471"/>
      <c r="K35" s="471"/>
      <c r="L35" s="471"/>
      <c r="M35" s="475"/>
      <c r="N35" s="477"/>
      <c r="O35" s="478"/>
      <c r="P35" s="468"/>
      <c r="Q35" s="572"/>
    </row>
    <row r="36" spans="1:23" ht="33" x14ac:dyDescent="0.25">
      <c r="A36" s="471" t="s">
        <v>171</v>
      </c>
      <c r="B36" s="479" t="s">
        <v>364</v>
      </c>
      <c r="C36" s="471" t="s">
        <v>38</v>
      </c>
      <c r="D36" s="480">
        <v>1500</v>
      </c>
      <c r="E36" s="471">
        <v>1665</v>
      </c>
      <c r="F36" s="476">
        <f t="shared" ref="F36:F38" si="5">IF(E36/D36*100&gt;100,100,E36/D36*100)</f>
        <v>100</v>
      </c>
      <c r="G36" s="475"/>
      <c r="H36" s="488" t="str">
        <f>A36</f>
        <v>6.1.</v>
      </c>
      <c r="I36" s="479" t="s">
        <v>335</v>
      </c>
      <c r="J36" s="471" t="s">
        <v>41</v>
      </c>
      <c r="K36" s="471">
        <v>71</v>
      </c>
      <c r="L36" s="471">
        <v>73</v>
      </c>
      <c r="M36" s="476">
        <f>IF(L36/K36*100&gt;110,110,L36/K36*100)</f>
        <v>102.8169014084507</v>
      </c>
      <c r="N36" s="477"/>
      <c r="O36" s="489"/>
      <c r="P36" s="482"/>
      <c r="Q36" s="572"/>
    </row>
    <row r="37" spans="1:23" ht="33" x14ac:dyDescent="0.25">
      <c r="A37" s="471" t="s">
        <v>172</v>
      </c>
      <c r="B37" s="479" t="s">
        <v>366</v>
      </c>
      <c r="C37" s="471" t="s">
        <v>41</v>
      </c>
      <c r="D37" s="481">
        <v>71</v>
      </c>
      <c r="E37" s="471">
        <v>76</v>
      </c>
      <c r="F37" s="476">
        <f t="shared" si="5"/>
        <v>100</v>
      </c>
      <c r="G37" s="475"/>
      <c r="H37" s="488"/>
      <c r="I37" s="479"/>
      <c r="J37" s="471"/>
      <c r="K37" s="471"/>
      <c r="L37" s="471"/>
      <c r="M37" s="476"/>
      <c r="N37" s="477"/>
      <c r="O37" s="489"/>
      <c r="P37" s="482"/>
      <c r="Q37" s="572"/>
    </row>
    <row r="38" spans="1:23" ht="49.5" x14ac:dyDescent="0.35">
      <c r="A38" s="471" t="s">
        <v>305</v>
      </c>
      <c r="B38" s="479" t="s">
        <v>367</v>
      </c>
      <c r="C38" s="471" t="s">
        <v>41</v>
      </c>
      <c r="D38" s="490">
        <v>2</v>
      </c>
      <c r="E38" s="471">
        <v>5</v>
      </c>
      <c r="F38" s="476">
        <f t="shared" si="5"/>
        <v>100</v>
      </c>
      <c r="G38" s="475"/>
      <c r="H38" s="488"/>
      <c r="I38" s="479"/>
      <c r="J38" s="471"/>
      <c r="K38" s="471"/>
      <c r="L38" s="471"/>
      <c r="M38" s="476"/>
      <c r="N38" s="477"/>
      <c r="O38" s="489"/>
      <c r="P38" s="482"/>
      <c r="Q38" s="572"/>
      <c r="R38" s="491"/>
      <c r="U38" s="492"/>
      <c r="V38" s="493"/>
      <c r="W38" s="493"/>
    </row>
    <row r="39" spans="1:23" ht="49.5" x14ac:dyDescent="0.25">
      <c r="A39" s="471"/>
      <c r="B39" s="21" t="s">
        <v>6</v>
      </c>
      <c r="C39" s="483"/>
      <c r="D39" s="483"/>
      <c r="E39" s="483"/>
      <c r="F39" s="484"/>
      <c r="G39" s="484">
        <f>(F37+F38+F36)/3</f>
        <v>100</v>
      </c>
      <c r="H39" s="485"/>
      <c r="I39" s="21" t="s">
        <v>6</v>
      </c>
      <c r="J39" s="485"/>
      <c r="K39" s="485"/>
      <c r="L39" s="485"/>
      <c r="M39" s="484"/>
      <c r="N39" s="484">
        <f>M36</f>
        <v>102.8169014084507</v>
      </c>
      <c r="O39" s="484">
        <f>(G39+N39)/2</f>
        <v>101.40845070422534</v>
      </c>
      <c r="P39" s="483" t="s">
        <v>279</v>
      </c>
      <c r="Q39" s="572"/>
    </row>
    <row r="40" spans="1:23" ht="15.75" customHeight="1" x14ac:dyDescent="0.25">
      <c r="A40" s="494"/>
      <c r="B40" s="462"/>
      <c r="C40" s="461"/>
      <c r="D40" s="461"/>
      <c r="E40" s="461"/>
      <c r="F40" s="573"/>
      <c r="G40" s="573"/>
      <c r="H40" s="495"/>
      <c r="I40" s="462"/>
      <c r="J40" s="495"/>
      <c r="K40" s="461"/>
      <c r="L40" s="461"/>
      <c r="M40" s="461"/>
      <c r="N40" s="461"/>
      <c r="O40" s="461"/>
    </row>
    <row r="41" spans="1:23" ht="15" customHeight="1" x14ac:dyDescent="0.25">
      <c r="A41" s="494"/>
      <c r="B41" s="462"/>
      <c r="C41" s="495"/>
      <c r="D41" s="461"/>
      <c r="E41" s="461"/>
      <c r="F41" s="461"/>
      <c r="G41" s="461"/>
      <c r="H41" s="461"/>
      <c r="I41" s="462"/>
      <c r="J41" s="461"/>
      <c r="K41" s="461"/>
      <c r="L41" s="461"/>
      <c r="M41" s="461"/>
      <c r="N41" s="461"/>
      <c r="O41" s="461"/>
    </row>
    <row r="42" spans="1:23" ht="15" customHeight="1" x14ac:dyDescent="0.25">
      <c r="A42" s="494"/>
    </row>
    <row r="43" spans="1:23" ht="15" customHeight="1" x14ac:dyDescent="0.25"/>
  </sheetData>
  <autoFilter ref="A11:W11"/>
  <mergeCells count="11">
    <mergeCell ref="B9:G9"/>
    <mergeCell ref="H9:N9"/>
    <mergeCell ref="O9:Q9"/>
    <mergeCell ref="Q12:Q39"/>
    <mergeCell ref="F40:G40"/>
    <mergeCell ref="B8:Q8"/>
    <mergeCell ref="A2:P2"/>
    <mergeCell ref="A3:P3"/>
    <mergeCell ref="A4:P4"/>
    <mergeCell ref="A5:P5"/>
    <mergeCell ref="A6:P6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U1559"/>
  <sheetViews>
    <sheetView tabSelected="1" view="pageBreakPreview" zoomScale="53" zoomScaleNormal="53" zoomScaleSheetLayoutView="53" workbookViewId="0">
      <selection activeCell="Q18" sqref="Q18"/>
    </sheetView>
  </sheetViews>
  <sheetFormatPr defaultRowHeight="23.25" x14ac:dyDescent="0.35"/>
  <cols>
    <col min="1" max="1" width="9.140625" style="195"/>
    <col min="2" max="2" width="32.5703125" style="345" customWidth="1"/>
    <col min="3" max="3" width="12.28515625" style="347" customWidth="1"/>
    <col min="4" max="4" width="70.85546875" style="346" customWidth="1"/>
    <col min="5" max="5" width="21.42578125" style="347" customWidth="1"/>
    <col min="6" max="6" width="18.5703125" style="347" customWidth="1"/>
    <col min="7" max="7" width="12.5703125" style="347" customWidth="1"/>
    <col min="8" max="8" width="34.85546875" style="347" customWidth="1"/>
    <col min="9" max="9" width="15.85546875" style="347" customWidth="1"/>
    <col min="10" max="10" width="12.5703125" style="347" customWidth="1"/>
    <col min="11" max="11" width="60.5703125" style="346" customWidth="1"/>
    <col min="12" max="12" width="18.42578125" style="347" customWidth="1"/>
    <col min="13" max="14" width="21" style="348" customWidth="1"/>
    <col min="15" max="15" width="17.42578125" style="347" customWidth="1"/>
    <col min="16" max="16" width="18.42578125" style="347" customWidth="1"/>
    <col min="17" max="17" width="19.85546875" style="347" customWidth="1"/>
    <col min="18" max="18" width="59.85546875" style="148" customWidth="1"/>
    <col min="19" max="19" width="31.140625" style="193" customWidth="1"/>
    <col min="20" max="20" width="17.28515625" style="193" customWidth="1"/>
    <col min="21" max="21" width="22.140625" style="194" customWidth="1"/>
    <col min="22" max="22" width="9.140625" style="194"/>
    <col min="23" max="23" width="16.28515625" style="194" customWidth="1"/>
    <col min="24" max="16384" width="9.140625" style="194"/>
  </cols>
  <sheetData>
    <row r="1" spans="1:21" s="111" customFormat="1" x14ac:dyDescent="0.35">
      <c r="A1" s="313"/>
      <c r="B1" s="314"/>
      <c r="C1" s="315"/>
      <c r="D1" s="316"/>
      <c r="E1" s="315"/>
      <c r="F1" s="315"/>
      <c r="G1" s="315"/>
      <c r="H1" s="315"/>
      <c r="I1" s="315"/>
      <c r="J1" s="315"/>
      <c r="K1" s="316"/>
      <c r="L1" s="315"/>
      <c r="M1" s="317"/>
      <c r="N1" s="317"/>
      <c r="O1" s="315"/>
      <c r="P1" s="315"/>
      <c r="Q1" s="315"/>
      <c r="R1" s="148"/>
      <c r="S1" s="193"/>
      <c r="T1" s="110"/>
    </row>
    <row r="2" spans="1:21" s="109" customFormat="1" ht="23.25" customHeight="1" x14ac:dyDescent="0.35">
      <c r="A2" s="313"/>
      <c r="B2" s="580" t="s">
        <v>0</v>
      </c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580"/>
      <c r="Q2" s="580"/>
      <c r="R2" s="512"/>
      <c r="S2" s="318"/>
      <c r="T2" s="108"/>
    </row>
    <row r="3" spans="1:21" s="109" customFormat="1" ht="23.25" customHeight="1" x14ac:dyDescent="0.35">
      <c r="A3" s="313"/>
      <c r="B3" s="581" t="s">
        <v>287</v>
      </c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  <c r="N3" s="582"/>
      <c r="O3" s="582"/>
      <c r="P3" s="582"/>
      <c r="Q3" s="583"/>
      <c r="R3" s="149"/>
      <c r="S3" s="318"/>
      <c r="T3" s="108"/>
    </row>
    <row r="4" spans="1:21" s="109" customFormat="1" ht="23.25" customHeight="1" x14ac:dyDescent="0.35">
      <c r="A4" s="313"/>
      <c r="B4" s="584" t="s">
        <v>284</v>
      </c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12"/>
      <c r="S4" s="318"/>
      <c r="T4" s="108"/>
    </row>
    <row r="5" spans="1:21" s="109" customFormat="1" ht="23.25" customHeight="1" x14ac:dyDescent="0.35">
      <c r="A5" s="313"/>
      <c r="B5" s="585" t="s">
        <v>563</v>
      </c>
      <c r="C5" s="585"/>
      <c r="D5" s="585"/>
      <c r="E5" s="585"/>
      <c r="F5" s="585"/>
      <c r="G5" s="585"/>
      <c r="H5" s="585"/>
      <c r="I5" s="585"/>
      <c r="J5" s="585"/>
      <c r="K5" s="585"/>
      <c r="L5" s="585"/>
      <c r="M5" s="585"/>
      <c r="N5" s="585"/>
      <c r="O5" s="585"/>
      <c r="P5" s="585"/>
      <c r="Q5" s="585"/>
      <c r="R5" s="147"/>
      <c r="S5" s="318"/>
      <c r="T5" s="108"/>
    </row>
    <row r="6" spans="1:21" s="109" customFormat="1" ht="23.25" customHeight="1" x14ac:dyDescent="0.35">
      <c r="A6" s="313"/>
      <c r="B6" s="580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580"/>
      <c r="O6" s="580"/>
      <c r="P6" s="580"/>
      <c r="Q6" s="580"/>
      <c r="R6" s="319"/>
      <c r="S6" s="318"/>
      <c r="T6" s="108"/>
    </row>
    <row r="7" spans="1:21" s="111" customFormat="1" x14ac:dyDescent="0.35">
      <c r="A7" s="313"/>
      <c r="B7" s="504"/>
      <c r="C7" s="504"/>
      <c r="D7" s="320"/>
      <c r="E7" s="504"/>
      <c r="F7" s="321"/>
      <c r="G7" s="504"/>
      <c r="H7" s="504"/>
      <c r="I7" s="504"/>
      <c r="J7" s="504"/>
      <c r="K7" s="320"/>
      <c r="L7" s="504"/>
      <c r="M7" s="504"/>
      <c r="N7" s="504"/>
      <c r="O7" s="504"/>
      <c r="P7" s="504"/>
      <c r="Q7" s="504"/>
      <c r="R7" s="319"/>
      <c r="S7" s="193"/>
      <c r="T7" s="110"/>
    </row>
    <row r="8" spans="1:21" s="111" customFormat="1" ht="45.75" customHeight="1" x14ac:dyDescent="0.35">
      <c r="A8" s="574" t="s">
        <v>1</v>
      </c>
      <c r="B8" s="574" t="s">
        <v>1</v>
      </c>
      <c r="C8" s="502"/>
      <c r="D8" s="574" t="s">
        <v>2</v>
      </c>
      <c r="E8" s="574"/>
      <c r="F8" s="574"/>
      <c r="G8" s="574"/>
      <c r="H8" s="574"/>
      <c r="I8" s="574"/>
      <c r="J8" s="574"/>
      <c r="K8" s="574"/>
      <c r="L8" s="574"/>
      <c r="M8" s="574"/>
      <c r="N8" s="574"/>
      <c r="O8" s="574"/>
      <c r="P8" s="574"/>
      <c r="Q8" s="574"/>
      <c r="R8" s="574"/>
      <c r="S8" s="574"/>
      <c r="T8" s="110"/>
    </row>
    <row r="9" spans="1:21" s="111" customFormat="1" ht="53.25" customHeight="1" x14ac:dyDescent="0.35">
      <c r="A9" s="574"/>
      <c r="B9" s="574"/>
      <c r="C9" s="502"/>
      <c r="D9" s="574" t="s">
        <v>70</v>
      </c>
      <c r="E9" s="574"/>
      <c r="F9" s="574"/>
      <c r="G9" s="574"/>
      <c r="H9" s="574"/>
      <c r="I9" s="574"/>
      <c r="J9" s="574" t="s">
        <v>71</v>
      </c>
      <c r="K9" s="574"/>
      <c r="L9" s="574"/>
      <c r="M9" s="574"/>
      <c r="N9" s="574"/>
      <c r="O9" s="574"/>
      <c r="P9" s="574"/>
      <c r="Q9" s="574" t="s">
        <v>24</v>
      </c>
      <c r="R9" s="574"/>
      <c r="S9" s="575"/>
      <c r="T9" s="110"/>
    </row>
    <row r="10" spans="1:21" s="111" customFormat="1" ht="131.25" customHeight="1" x14ac:dyDescent="0.35">
      <c r="A10" s="574"/>
      <c r="B10" s="574"/>
      <c r="C10" s="502" t="s">
        <v>1</v>
      </c>
      <c r="D10" s="116" t="s">
        <v>5</v>
      </c>
      <c r="E10" s="502" t="s">
        <v>11</v>
      </c>
      <c r="F10" s="322" t="s">
        <v>368</v>
      </c>
      <c r="G10" s="322" t="s">
        <v>369</v>
      </c>
      <c r="H10" s="322" t="s">
        <v>370</v>
      </c>
      <c r="I10" s="322" t="s">
        <v>371</v>
      </c>
      <c r="J10" s="502" t="s">
        <v>1</v>
      </c>
      <c r="K10" s="146" t="s">
        <v>5</v>
      </c>
      <c r="L10" s="502" t="s">
        <v>11</v>
      </c>
      <c r="M10" s="130" t="s">
        <v>372</v>
      </c>
      <c r="N10" s="130" t="s">
        <v>373</v>
      </c>
      <c r="O10" s="322" t="s">
        <v>374</v>
      </c>
      <c r="P10" s="322" t="s">
        <v>375</v>
      </c>
      <c r="Q10" s="322" t="s">
        <v>376</v>
      </c>
      <c r="R10" s="502" t="s">
        <v>422</v>
      </c>
      <c r="S10" s="502" t="s">
        <v>423</v>
      </c>
      <c r="T10" s="110"/>
    </row>
    <row r="11" spans="1:21" s="144" customFormat="1" ht="21.75" customHeight="1" x14ac:dyDescent="0.25">
      <c r="A11" s="323">
        <v>1</v>
      </c>
      <c r="B11" s="324">
        <v>2</v>
      </c>
      <c r="C11" s="324">
        <v>3</v>
      </c>
      <c r="D11" s="323">
        <v>4</v>
      </c>
      <c r="E11" s="324">
        <v>5</v>
      </c>
      <c r="F11" s="324">
        <v>6</v>
      </c>
      <c r="G11" s="323">
        <v>7</v>
      </c>
      <c r="H11" s="324">
        <v>8</v>
      </c>
      <c r="I11" s="324">
        <v>9</v>
      </c>
      <c r="J11" s="324">
        <v>10</v>
      </c>
      <c r="K11" s="324">
        <v>11</v>
      </c>
      <c r="L11" s="323">
        <v>12</v>
      </c>
      <c r="M11" s="324">
        <v>13</v>
      </c>
      <c r="N11" s="324">
        <v>14</v>
      </c>
      <c r="O11" s="324">
        <v>15</v>
      </c>
      <c r="P11" s="323">
        <v>16</v>
      </c>
      <c r="Q11" s="323">
        <v>17</v>
      </c>
      <c r="R11" s="324">
        <v>18</v>
      </c>
      <c r="S11" s="324">
        <v>19</v>
      </c>
      <c r="T11" s="41"/>
    </row>
    <row r="12" spans="1:21" s="111" customFormat="1" ht="100.5" customHeight="1" x14ac:dyDescent="0.35">
      <c r="A12" s="576">
        <v>1</v>
      </c>
      <c r="B12" s="574" t="s">
        <v>94</v>
      </c>
      <c r="C12" s="500" t="s">
        <v>12</v>
      </c>
      <c r="D12" s="135" t="s">
        <v>87</v>
      </c>
      <c r="E12" s="120"/>
      <c r="F12" s="120"/>
      <c r="G12" s="120"/>
      <c r="H12" s="506"/>
      <c r="I12" s="506"/>
      <c r="J12" s="120" t="s">
        <v>12</v>
      </c>
      <c r="K12" s="135" t="s">
        <v>87</v>
      </c>
      <c r="L12" s="505"/>
      <c r="M12" s="505"/>
      <c r="N12" s="505"/>
      <c r="O12" s="506"/>
      <c r="P12" s="136"/>
      <c r="Q12" s="506"/>
      <c r="R12" s="507"/>
      <c r="S12" s="577" t="s">
        <v>279</v>
      </c>
      <c r="T12" s="110"/>
    </row>
    <row r="13" spans="1:21" s="111" customFormat="1" ht="100.5" customHeight="1" x14ac:dyDescent="0.35">
      <c r="A13" s="576"/>
      <c r="B13" s="574"/>
      <c r="C13" s="507" t="s">
        <v>7</v>
      </c>
      <c r="D13" s="508" t="s">
        <v>88</v>
      </c>
      <c r="E13" s="505" t="s">
        <v>25</v>
      </c>
      <c r="F13" s="505">
        <v>95</v>
      </c>
      <c r="G13" s="505">
        <v>98.3</v>
      </c>
      <c r="H13" s="509">
        <f>IF(G13/F13*100&gt;100,100,G13/F13*100)</f>
        <v>100</v>
      </c>
      <c r="I13" s="505"/>
      <c r="J13" s="505" t="s">
        <v>7</v>
      </c>
      <c r="K13" s="508" t="s">
        <v>409</v>
      </c>
      <c r="L13" s="505" t="s">
        <v>38</v>
      </c>
      <c r="M13" s="505">
        <v>89</v>
      </c>
      <c r="N13" s="505">
        <v>89</v>
      </c>
      <c r="O13" s="509">
        <f>IF(N13/M13*100&gt;110,110,N13/M13*100)</f>
        <v>100</v>
      </c>
      <c r="P13" s="136"/>
      <c r="Q13" s="506"/>
      <c r="R13" s="507"/>
      <c r="S13" s="578"/>
      <c r="T13" s="110"/>
    </row>
    <row r="14" spans="1:21" s="111" customFormat="1" ht="102" customHeight="1" x14ac:dyDescent="0.35">
      <c r="A14" s="576"/>
      <c r="B14" s="574"/>
      <c r="C14" s="507"/>
      <c r="D14" s="508"/>
      <c r="E14" s="505"/>
      <c r="F14" s="505"/>
      <c r="G14" s="505"/>
      <c r="H14" s="509"/>
      <c r="I14" s="505"/>
      <c r="J14" s="505" t="s">
        <v>8</v>
      </c>
      <c r="K14" s="508" t="s">
        <v>377</v>
      </c>
      <c r="L14" s="505" t="s">
        <v>38</v>
      </c>
      <c r="M14" s="505">
        <v>274</v>
      </c>
      <c r="N14" s="505">
        <v>274</v>
      </c>
      <c r="O14" s="509">
        <f>IF(N14/M14*100&gt;110,110,N14/M14*100)</f>
        <v>100</v>
      </c>
      <c r="P14" s="136"/>
      <c r="Q14" s="506"/>
      <c r="R14" s="505"/>
      <c r="S14" s="578"/>
      <c r="T14" s="110"/>
    </row>
    <row r="15" spans="1:21" s="111" customFormat="1" x14ac:dyDescent="0.35">
      <c r="A15" s="576"/>
      <c r="B15" s="574"/>
      <c r="C15" s="507"/>
      <c r="D15" s="508"/>
      <c r="E15" s="505"/>
      <c r="F15" s="505"/>
      <c r="G15" s="505"/>
      <c r="H15" s="509"/>
      <c r="I15" s="505"/>
      <c r="J15" s="505" t="s">
        <v>9</v>
      </c>
      <c r="K15" s="508" t="s">
        <v>454</v>
      </c>
      <c r="L15" s="505" t="s">
        <v>38</v>
      </c>
      <c r="M15" s="505">
        <v>37</v>
      </c>
      <c r="N15" s="505">
        <v>37</v>
      </c>
      <c r="O15" s="509">
        <f>IF(N15/M15*100&gt;110,110,N15/M15*100)</f>
        <v>100</v>
      </c>
      <c r="P15" s="136"/>
      <c r="Q15" s="506"/>
      <c r="R15" s="505"/>
      <c r="S15" s="578"/>
      <c r="T15" s="110"/>
    </row>
    <row r="16" spans="1:21" s="124" customFormat="1" ht="39.75" customHeight="1" x14ac:dyDescent="0.35">
      <c r="A16" s="576"/>
      <c r="B16" s="574"/>
      <c r="C16" s="182"/>
      <c r="D16" s="183" t="s">
        <v>6</v>
      </c>
      <c r="E16" s="184"/>
      <c r="F16" s="185"/>
      <c r="G16" s="186"/>
      <c r="H16" s="187"/>
      <c r="I16" s="187">
        <f>H13</f>
        <v>100</v>
      </c>
      <c r="J16" s="184"/>
      <c r="K16" s="183" t="s">
        <v>6</v>
      </c>
      <c r="L16" s="184"/>
      <c r="M16" s="188"/>
      <c r="N16" s="188"/>
      <c r="O16" s="187"/>
      <c r="P16" s="187">
        <f>(O13+O14+O15)/3</f>
        <v>100</v>
      </c>
      <c r="Q16" s="187">
        <f>(I16+P16)/2</f>
        <v>100</v>
      </c>
      <c r="R16" s="191" t="s">
        <v>31</v>
      </c>
      <c r="S16" s="578"/>
      <c r="T16" s="110"/>
      <c r="U16" s="189"/>
    </row>
    <row r="17" spans="1:23" s="111" customFormat="1" ht="42" customHeight="1" x14ac:dyDescent="0.35">
      <c r="A17" s="576"/>
      <c r="B17" s="574"/>
      <c r="C17" s="500" t="s">
        <v>13</v>
      </c>
      <c r="D17" s="112" t="s">
        <v>90</v>
      </c>
      <c r="E17" s="505"/>
      <c r="F17" s="505"/>
      <c r="G17" s="505"/>
      <c r="H17" s="506"/>
      <c r="I17" s="113"/>
      <c r="J17" s="500" t="s">
        <v>13</v>
      </c>
      <c r="K17" s="112" t="s">
        <v>90</v>
      </c>
      <c r="L17" s="114"/>
      <c r="M17" s="138"/>
      <c r="N17" s="138"/>
      <c r="O17" s="506"/>
      <c r="P17" s="136"/>
      <c r="Q17" s="506"/>
      <c r="R17" s="507"/>
      <c r="S17" s="578"/>
      <c r="T17" s="110"/>
    </row>
    <row r="18" spans="1:23" s="111" customFormat="1" ht="92.25" customHeight="1" x14ac:dyDescent="0.35">
      <c r="A18" s="576"/>
      <c r="B18" s="574"/>
      <c r="C18" s="507" t="s">
        <v>14</v>
      </c>
      <c r="D18" s="510" t="s">
        <v>88</v>
      </c>
      <c r="E18" s="505" t="s">
        <v>25</v>
      </c>
      <c r="F18" s="505">
        <v>95</v>
      </c>
      <c r="G18" s="505">
        <v>98.3</v>
      </c>
      <c r="H18" s="509">
        <f>IF(G18/F18*100&gt;100,100,G18/F18*100)</f>
        <v>100</v>
      </c>
      <c r="I18" s="114"/>
      <c r="J18" s="118" t="s">
        <v>14</v>
      </c>
      <c r="K18" s="116" t="s">
        <v>312</v>
      </c>
      <c r="L18" s="114" t="s">
        <v>38</v>
      </c>
      <c r="M18" s="505">
        <v>385</v>
      </c>
      <c r="N18" s="505">
        <v>385</v>
      </c>
      <c r="O18" s="509">
        <f>IF(N18/M18*100&gt;110,110,N18/M18*100)</f>
        <v>100</v>
      </c>
      <c r="P18" s="136"/>
      <c r="Q18" s="506"/>
      <c r="R18" s="505"/>
      <c r="S18" s="578"/>
      <c r="T18" s="110"/>
    </row>
    <row r="19" spans="1:23" s="111" customFormat="1" ht="81.75" customHeight="1" x14ac:dyDescent="0.35">
      <c r="A19" s="576"/>
      <c r="B19" s="574"/>
      <c r="C19" s="507" t="s">
        <v>15</v>
      </c>
      <c r="D19" s="510" t="s">
        <v>91</v>
      </c>
      <c r="E19" s="505" t="s">
        <v>92</v>
      </c>
      <c r="F19" s="505">
        <v>35</v>
      </c>
      <c r="G19" s="505">
        <v>30.06</v>
      </c>
      <c r="H19" s="509">
        <f>IF(F19/G19*100&gt;100,100,F19/G19*100)</f>
        <v>100</v>
      </c>
      <c r="I19" s="114"/>
      <c r="J19" s="118" t="s">
        <v>15</v>
      </c>
      <c r="K19" s="116" t="s">
        <v>463</v>
      </c>
      <c r="L19" s="114" t="s">
        <v>38</v>
      </c>
      <c r="M19" s="505">
        <v>2</v>
      </c>
      <c r="N19" s="505">
        <v>2</v>
      </c>
      <c r="O19" s="509">
        <f>IF(N19/M19*100&gt;110,110,N19/M19*100)</f>
        <v>100</v>
      </c>
      <c r="P19" s="136"/>
      <c r="Q19" s="506"/>
      <c r="R19" s="120"/>
      <c r="S19" s="578"/>
      <c r="T19" s="110"/>
    </row>
    <row r="20" spans="1:23" s="111" customFormat="1" ht="64.5" customHeight="1" x14ac:dyDescent="0.35">
      <c r="A20" s="576"/>
      <c r="B20" s="574"/>
      <c r="C20" s="507"/>
      <c r="D20" s="510"/>
      <c r="E20" s="505"/>
      <c r="F20" s="505"/>
      <c r="G20" s="505"/>
      <c r="H20" s="509"/>
      <c r="I20" s="114"/>
      <c r="J20" s="118" t="s">
        <v>39</v>
      </c>
      <c r="K20" s="116" t="s">
        <v>313</v>
      </c>
      <c r="L20" s="114" t="s">
        <v>38</v>
      </c>
      <c r="M20" s="505">
        <v>13</v>
      </c>
      <c r="N20" s="505">
        <v>13</v>
      </c>
      <c r="O20" s="509">
        <f>IF(N20/M20*100&gt;110,110,N20/M20*100)</f>
        <v>100</v>
      </c>
      <c r="P20" s="136"/>
      <c r="Q20" s="506"/>
      <c r="R20" s="505"/>
      <c r="S20" s="578"/>
      <c r="T20" s="110"/>
    </row>
    <row r="21" spans="1:23" s="124" customFormat="1" ht="45" x14ac:dyDescent="0.35">
      <c r="A21" s="576"/>
      <c r="B21" s="574"/>
      <c r="C21" s="182"/>
      <c r="D21" s="183" t="s">
        <v>6</v>
      </c>
      <c r="E21" s="184"/>
      <c r="F21" s="185"/>
      <c r="G21" s="186"/>
      <c r="H21" s="187"/>
      <c r="I21" s="187">
        <f>(H18+H19)/2</f>
        <v>100</v>
      </c>
      <c r="J21" s="184"/>
      <c r="K21" s="183" t="s">
        <v>6</v>
      </c>
      <c r="L21" s="184"/>
      <c r="M21" s="188"/>
      <c r="N21" s="188"/>
      <c r="O21" s="187"/>
      <c r="P21" s="187">
        <f>(O20+O18+O19)/3</f>
        <v>100</v>
      </c>
      <c r="Q21" s="187">
        <f>(I21+P21)/2</f>
        <v>100</v>
      </c>
      <c r="R21" s="191" t="s">
        <v>31</v>
      </c>
      <c r="S21" s="578"/>
      <c r="T21" s="110"/>
      <c r="U21" s="189"/>
    </row>
    <row r="22" spans="1:23" s="111" customFormat="1" ht="95.25" customHeight="1" x14ac:dyDescent="0.35">
      <c r="A22" s="576"/>
      <c r="B22" s="574"/>
      <c r="C22" s="500" t="s">
        <v>28</v>
      </c>
      <c r="D22" s="112" t="s">
        <v>380</v>
      </c>
      <c r="E22" s="505"/>
      <c r="F22" s="505"/>
      <c r="G22" s="505"/>
      <c r="H22" s="506"/>
      <c r="I22" s="113"/>
      <c r="J22" s="500" t="s">
        <v>28</v>
      </c>
      <c r="K22" s="112" t="str">
        <f>D22</f>
        <v>Предоставление консультационных и методических услуг</v>
      </c>
      <c r="L22" s="114"/>
      <c r="M22" s="140"/>
      <c r="N22" s="140"/>
      <c r="O22" s="506"/>
      <c r="P22" s="136"/>
      <c r="Q22" s="506"/>
      <c r="R22" s="505"/>
      <c r="S22" s="578"/>
      <c r="T22" s="110"/>
    </row>
    <row r="23" spans="1:23" s="122" customFormat="1" ht="75" customHeight="1" x14ac:dyDescent="0.35">
      <c r="A23" s="576"/>
      <c r="B23" s="574"/>
      <c r="C23" s="507" t="s">
        <v>29</v>
      </c>
      <c r="D23" s="510" t="s">
        <v>314</v>
      </c>
      <c r="E23" s="505" t="s">
        <v>38</v>
      </c>
      <c r="F23" s="505">
        <v>50</v>
      </c>
      <c r="G23" s="505">
        <v>50</v>
      </c>
      <c r="H23" s="509">
        <f>IF(G23/F23*100&gt;100,100,G23/F23*100)</f>
        <v>100</v>
      </c>
      <c r="I23" s="114"/>
      <c r="J23" s="118" t="s">
        <v>29</v>
      </c>
      <c r="K23" s="116" t="s">
        <v>93</v>
      </c>
      <c r="L23" s="114" t="s">
        <v>36</v>
      </c>
      <c r="M23" s="505">
        <v>100</v>
      </c>
      <c r="N23" s="140">
        <v>100</v>
      </c>
      <c r="O23" s="509">
        <f>IF(N23/M23*100&gt;110,110,N23/M23*100)</f>
        <v>100</v>
      </c>
      <c r="P23" s="136"/>
      <c r="Q23" s="506"/>
      <c r="R23" s="120"/>
      <c r="S23" s="578"/>
      <c r="T23" s="110"/>
      <c r="W23" s="121"/>
    </row>
    <row r="24" spans="1:23" s="124" customFormat="1" ht="40.5" customHeight="1" x14ac:dyDescent="0.35">
      <c r="A24" s="576"/>
      <c r="B24" s="574"/>
      <c r="C24" s="191"/>
      <c r="D24" s="183" t="s">
        <v>6</v>
      </c>
      <c r="E24" s="191"/>
      <c r="F24" s="184"/>
      <c r="G24" s="184"/>
      <c r="H24" s="187"/>
      <c r="I24" s="187">
        <f>H23</f>
        <v>100</v>
      </c>
      <c r="J24" s="182"/>
      <c r="K24" s="183" t="s">
        <v>6</v>
      </c>
      <c r="L24" s="184"/>
      <c r="M24" s="188"/>
      <c r="N24" s="188"/>
      <c r="O24" s="187"/>
      <c r="P24" s="187">
        <f>O23</f>
        <v>100</v>
      </c>
      <c r="Q24" s="187">
        <f>(I24+P24)/2</f>
        <v>100</v>
      </c>
      <c r="R24" s="191" t="s">
        <v>31</v>
      </c>
      <c r="S24" s="578"/>
      <c r="T24" s="110"/>
    </row>
    <row r="25" spans="1:23" s="111" customFormat="1" ht="74.25" customHeight="1" x14ac:dyDescent="0.35">
      <c r="A25" s="576">
        <v>2</v>
      </c>
      <c r="B25" s="574" t="s">
        <v>95</v>
      </c>
      <c r="C25" s="500" t="s">
        <v>12</v>
      </c>
      <c r="D25" s="112" t="s">
        <v>87</v>
      </c>
      <c r="E25" s="120"/>
      <c r="F25" s="120"/>
      <c r="G25" s="120"/>
      <c r="H25" s="506"/>
      <c r="I25" s="506"/>
      <c r="J25" s="120" t="s">
        <v>12</v>
      </c>
      <c r="K25" s="135" t="s">
        <v>87</v>
      </c>
      <c r="L25" s="505"/>
      <c r="M25" s="505"/>
      <c r="N25" s="505"/>
      <c r="O25" s="506"/>
      <c r="P25" s="136"/>
      <c r="Q25" s="506"/>
      <c r="R25" s="507"/>
      <c r="S25" s="579" t="s">
        <v>279</v>
      </c>
      <c r="T25" s="110"/>
    </row>
    <row r="26" spans="1:23" s="111" customFormat="1" ht="94.5" customHeight="1" x14ac:dyDescent="0.35">
      <c r="A26" s="576"/>
      <c r="B26" s="574"/>
      <c r="C26" s="507" t="s">
        <v>7</v>
      </c>
      <c r="D26" s="510" t="s">
        <v>88</v>
      </c>
      <c r="E26" s="505" t="s">
        <v>25</v>
      </c>
      <c r="F26" s="505">
        <v>95</v>
      </c>
      <c r="G26" s="505">
        <v>97</v>
      </c>
      <c r="H26" s="509">
        <f>IF(G26/F26*100&gt;100,100,G26/F26*100)</f>
        <v>100</v>
      </c>
      <c r="I26" s="114"/>
      <c r="J26" s="114" t="s">
        <v>7</v>
      </c>
      <c r="K26" s="116" t="s">
        <v>316</v>
      </c>
      <c r="L26" s="114" t="s">
        <v>38</v>
      </c>
      <c r="M26" s="505">
        <v>112</v>
      </c>
      <c r="N26" s="505">
        <v>112</v>
      </c>
      <c r="O26" s="509">
        <f>IF(N26/M26*100&gt;110,110,N26/M26*100)</f>
        <v>100</v>
      </c>
      <c r="P26" s="136"/>
      <c r="Q26" s="506"/>
      <c r="R26" s="505"/>
      <c r="S26" s="579"/>
      <c r="T26" s="110"/>
    </row>
    <row r="27" spans="1:23" s="111" customFormat="1" ht="69.75" x14ac:dyDescent="0.35">
      <c r="A27" s="576"/>
      <c r="B27" s="574"/>
      <c r="C27" s="507"/>
      <c r="D27" s="510"/>
      <c r="E27" s="505"/>
      <c r="F27" s="505"/>
      <c r="G27" s="505"/>
      <c r="H27" s="509"/>
      <c r="I27" s="114"/>
      <c r="J27" s="114" t="s">
        <v>8</v>
      </c>
      <c r="K27" s="116" t="s">
        <v>312</v>
      </c>
      <c r="L27" s="114" t="s">
        <v>38</v>
      </c>
      <c r="M27" s="505">
        <v>325</v>
      </c>
      <c r="N27" s="505">
        <v>325</v>
      </c>
      <c r="O27" s="509">
        <f>IF(N27/M27*100&gt;110,110,N27/M27*100)</f>
        <v>100</v>
      </c>
      <c r="P27" s="136"/>
      <c r="Q27" s="506"/>
      <c r="R27" s="505"/>
      <c r="S27" s="579"/>
      <c r="T27" s="110"/>
    </row>
    <row r="28" spans="1:23" s="111" customFormat="1" ht="46.5" x14ac:dyDescent="0.35">
      <c r="A28" s="576"/>
      <c r="B28" s="574"/>
      <c r="C28" s="507"/>
      <c r="D28" s="510"/>
      <c r="E28" s="505"/>
      <c r="F28" s="505"/>
      <c r="G28" s="505"/>
      <c r="H28" s="509"/>
      <c r="I28" s="114"/>
      <c r="J28" s="114" t="s">
        <v>9</v>
      </c>
      <c r="K28" s="116" t="s">
        <v>315</v>
      </c>
      <c r="L28" s="114" t="s">
        <v>38</v>
      </c>
      <c r="M28" s="505">
        <v>40</v>
      </c>
      <c r="N28" s="505">
        <v>40</v>
      </c>
      <c r="O28" s="509">
        <f>IF(N28/M28*100&gt;110,110,N28/M28*100)</f>
        <v>100</v>
      </c>
      <c r="P28" s="136"/>
      <c r="Q28" s="506"/>
      <c r="R28" s="505"/>
      <c r="S28" s="579"/>
      <c r="T28" s="110"/>
    </row>
    <row r="29" spans="1:23" s="124" customFormat="1" ht="39.75" customHeight="1" x14ac:dyDescent="0.35">
      <c r="A29" s="576"/>
      <c r="B29" s="574"/>
      <c r="C29" s="182"/>
      <c r="D29" s="183" t="s">
        <v>6</v>
      </c>
      <c r="E29" s="184"/>
      <c r="F29" s="185"/>
      <c r="G29" s="186"/>
      <c r="H29" s="187"/>
      <c r="I29" s="187">
        <f>H26</f>
        <v>100</v>
      </c>
      <c r="J29" s="184"/>
      <c r="K29" s="183" t="s">
        <v>6</v>
      </c>
      <c r="L29" s="184"/>
      <c r="M29" s="188"/>
      <c r="N29" s="188"/>
      <c r="O29" s="187"/>
      <c r="P29" s="187">
        <f>(O28+O26+O27)/3</f>
        <v>100</v>
      </c>
      <c r="Q29" s="187">
        <f>(I29+P29)/2</f>
        <v>100</v>
      </c>
      <c r="R29" s="191" t="s">
        <v>31</v>
      </c>
      <c r="S29" s="579"/>
      <c r="T29" s="110"/>
      <c r="U29" s="189"/>
    </row>
    <row r="30" spans="1:23" s="111" customFormat="1" ht="43.5" customHeight="1" x14ac:dyDescent="0.35">
      <c r="A30" s="576"/>
      <c r="B30" s="574"/>
      <c r="C30" s="500" t="s">
        <v>13</v>
      </c>
      <c r="D30" s="112" t="s">
        <v>90</v>
      </c>
      <c r="E30" s="505"/>
      <c r="F30" s="505"/>
      <c r="G30" s="505"/>
      <c r="H30" s="506"/>
      <c r="I30" s="113"/>
      <c r="J30" s="500" t="s">
        <v>13</v>
      </c>
      <c r="K30" s="112" t="s">
        <v>90</v>
      </c>
      <c r="L30" s="114"/>
      <c r="M30" s="138"/>
      <c r="N30" s="138"/>
      <c r="O30" s="506"/>
      <c r="P30" s="136"/>
      <c r="Q30" s="506"/>
      <c r="R30" s="505"/>
      <c r="S30" s="579"/>
      <c r="T30" s="110"/>
    </row>
    <row r="31" spans="1:23" s="111" customFormat="1" ht="89.25" customHeight="1" x14ac:dyDescent="0.35">
      <c r="A31" s="576"/>
      <c r="B31" s="574"/>
      <c r="C31" s="507" t="s">
        <v>14</v>
      </c>
      <c r="D31" s="510" t="s">
        <v>88</v>
      </c>
      <c r="E31" s="505" t="s">
        <v>25</v>
      </c>
      <c r="F31" s="505">
        <v>95</v>
      </c>
      <c r="G31" s="505">
        <v>99</v>
      </c>
      <c r="H31" s="509">
        <f>IF(G31/F31*100&gt;100,100,G31/F31*100)</f>
        <v>100</v>
      </c>
      <c r="I31" s="114"/>
      <c r="J31" s="118" t="s">
        <v>14</v>
      </c>
      <c r="K31" s="116" t="s">
        <v>317</v>
      </c>
      <c r="L31" s="114" t="s">
        <v>38</v>
      </c>
      <c r="M31" s="505">
        <v>476</v>
      </c>
      <c r="N31" s="505">
        <v>476</v>
      </c>
      <c r="O31" s="509">
        <f>IF(N31/M31*100&gt;110,110,N31/M31*100)</f>
        <v>100</v>
      </c>
      <c r="P31" s="136"/>
      <c r="Q31" s="506"/>
      <c r="R31" s="120"/>
      <c r="S31" s="579"/>
      <c r="T31" s="110"/>
    </row>
    <row r="32" spans="1:23" s="111" customFormat="1" ht="81.75" customHeight="1" x14ac:dyDescent="0.35">
      <c r="A32" s="576"/>
      <c r="B32" s="574"/>
      <c r="C32" s="507" t="s">
        <v>15</v>
      </c>
      <c r="D32" s="510" t="s">
        <v>91</v>
      </c>
      <c r="E32" s="505" t="s">
        <v>92</v>
      </c>
      <c r="F32" s="505">
        <v>35</v>
      </c>
      <c r="G32" s="505">
        <v>34.5</v>
      </c>
      <c r="H32" s="509">
        <f>IF(F32/G32*100&gt;100,100,F32/G32*100)</f>
        <v>100</v>
      </c>
      <c r="I32" s="114"/>
      <c r="J32" s="118" t="s">
        <v>15</v>
      </c>
      <c r="K32" s="116" t="s">
        <v>313</v>
      </c>
      <c r="L32" s="114" t="s">
        <v>38</v>
      </c>
      <c r="M32" s="505">
        <v>1</v>
      </c>
      <c r="N32" s="505">
        <v>1</v>
      </c>
      <c r="O32" s="509">
        <f>IF(N32/M32*100&gt;110,110,N32/M32*100)</f>
        <v>100</v>
      </c>
      <c r="P32" s="136"/>
      <c r="Q32" s="506"/>
      <c r="R32" s="120"/>
      <c r="S32" s="579"/>
      <c r="T32" s="110"/>
    </row>
    <row r="33" spans="1:21" s="124" customFormat="1" ht="38.25" customHeight="1" x14ac:dyDescent="0.35">
      <c r="A33" s="576"/>
      <c r="B33" s="574"/>
      <c r="C33" s="182"/>
      <c r="D33" s="183" t="s">
        <v>6</v>
      </c>
      <c r="E33" s="184"/>
      <c r="F33" s="185"/>
      <c r="G33" s="186"/>
      <c r="H33" s="187"/>
      <c r="I33" s="187">
        <f>(H31+H32)/2</f>
        <v>100</v>
      </c>
      <c r="J33" s="184"/>
      <c r="K33" s="183" t="s">
        <v>6</v>
      </c>
      <c r="L33" s="184"/>
      <c r="M33" s="188"/>
      <c r="N33" s="188"/>
      <c r="O33" s="187"/>
      <c r="P33" s="187">
        <f>(O31+O32)/2</f>
        <v>100</v>
      </c>
      <c r="Q33" s="187">
        <f>(I33+P33)/2</f>
        <v>100</v>
      </c>
      <c r="R33" s="191" t="s">
        <v>31</v>
      </c>
      <c r="S33" s="579"/>
      <c r="T33" s="110"/>
      <c r="U33" s="189"/>
    </row>
    <row r="34" spans="1:21" s="111" customFormat="1" ht="85.5" customHeight="1" x14ac:dyDescent="0.35">
      <c r="A34" s="576"/>
      <c r="B34" s="574"/>
      <c r="C34" s="500" t="s">
        <v>28</v>
      </c>
      <c r="D34" s="112" t="s">
        <v>380</v>
      </c>
      <c r="E34" s="505"/>
      <c r="F34" s="505"/>
      <c r="G34" s="505"/>
      <c r="H34" s="506"/>
      <c r="I34" s="506"/>
      <c r="J34" s="120" t="s">
        <v>28</v>
      </c>
      <c r="K34" s="135" t="str">
        <f>D34</f>
        <v>Предоставление консультационных и методических услуг</v>
      </c>
      <c r="L34" s="505"/>
      <c r="M34" s="140"/>
      <c r="N34" s="140"/>
      <c r="O34" s="506"/>
      <c r="P34" s="136"/>
      <c r="Q34" s="506"/>
      <c r="R34" s="507"/>
      <c r="S34" s="579"/>
      <c r="T34" s="110"/>
    </row>
    <row r="35" spans="1:21" s="111" customFormat="1" ht="70.5" customHeight="1" x14ac:dyDescent="0.35">
      <c r="A35" s="576"/>
      <c r="B35" s="574"/>
      <c r="C35" s="507" t="s">
        <v>29</v>
      </c>
      <c r="D35" s="510" t="s">
        <v>314</v>
      </c>
      <c r="E35" s="505" t="s">
        <v>318</v>
      </c>
      <c r="F35" s="505">
        <v>50</v>
      </c>
      <c r="G35" s="505">
        <v>50</v>
      </c>
      <c r="H35" s="509">
        <f>IF(G35/F35*100&gt;100,100,G35/F35*100)</f>
        <v>100</v>
      </c>
      <c r="I35" s="505"/>
      <c r="J35" s="139" t="s">
        <v>29</v>
      </c>
      <c r="K35" s="508" t="s">
        <v>93</v>
      </c>
      <c r="L35" s="505" t="s">
        <v>36</v>
      </c>
      <c r="M35" s="505">
        <v>100</v>
      </c>
      <c r="N35" s="140">
        <v>100</v>
      </c>
      <c r="O35" s="509">
        <f>IF(N35/M35*100&gt;110,110,N35/M35*100)</f>
        <v>100</v>
      </c>
      <c r="P35" s="136"/>
      <c r="Q35" s="506"/>
      <c r="R35" s="505"/>
      <c r="S35" s="579"/>
      <c r="T35" s="110"/>
    </row>
    <row r="36" spans="1:21" s="124" customFormat="1" ht="40.5" customHeight="1" x14ac:dyDescent="0.35">
      <c r="A36" s="576"/>
      <c r="B36" s="574"/>
      <c r="C36" s="191"/>
      <c r="D36" s="183" t="s">
        <v>6</v>
      </c>
      <c r="E36" s="191"/>
      <c r="F36" s="184"/>
      <c r="G36" s="184"/>
      <c r="H36" s="187"/>
      <c r="I36" s="187">
        <f>H35</f>
        <v>100</v>
      </c>
      <c r="J36" s="182"/>
      <c r="K36" s="183" t="s">
        <v>6</v>
      </c>
      <c r="L36" s="184"/>
      <c r="M36" s="188"/>
      <c r="N36" s="188"/>
      <c r="O36" s="187"/>
      <c r="P36" s="187">
        <f>O35</f>
        <v>100</v>
      </c>
      <c r="Q36" s="187">
        <f>(I36+P36)/2</f>
        <v>100</v>
      </c>
      <c r="R36" s="191" t="s">
        <v>31</v>
      </c>
      <c r="S36" s="579"/>
      <c r="T36" s="110"/>
    </row>
    <row r="37" spans="1:21" s="111" customFormat="1" ht="83.25" customHeight="1" x14ac:dyDescent="0.35">
      <c r="A37" s="576">
        <v>3</v>
      </c>
      <c r="B37" s="574" t="s">
        <v>96</v>
      </c>
      <c r="C37" s="500" t="s">
        <v>12</v>
      </c>
      <c r="D37" s="112" t="s">
        <v>87</v>
      </c>
      <c r="E37" s="120"/>
      <c r="F37" s="120"/>
      <c r="G37" s="120"/>
      <c r="H37" s="506"/>
      <c r="I37" s="506"/>
      <c r="J37" s="120" t="s">
        <v>12</v>
      </c>
      <c r="K37" s="135" t="s">
        <v>87</v>
      </c>
      <c r="L37" s="505"/>
      <c r="M37" s="505"/>
      <c r="N37" s="505"/>
      <c r="O37" s="506"/>
      <c r="P37" s="136"/>
      <c r="Q37" s="506"/>
      <c r="R37" s="507"/>
      <c r="S37" s="579" t="s">
        <v>607</v>
      </c>
      <c r="T37" s="110"/>
    </row>
    <row r="38" spans="1:21" s="111" customFormat="1" ht="77.25" customHeight="1" x14ac:dyDescent="0.35">
      <c r="A38" s="576"/>
      <c r="B38" s="574"/>
      <c r="C38" s="507" t="s">
        <v>7</v>
      </c>
      <c r="D38" s="510" t="s">
        <v>88</v>
      </c>
      <c r="E38" s="505" t="s">
        <v>25</v>
      </c>
      <c r="F38" s="505">
        <v>95</v>
      </c>
      <c r="G38" s="505">
        <v>93.8</v>
      </c>
      <c r="H38" s="509">
        <f>IF(G38/F38*100&gt;100,100,G38/F38*100)</f>
        <v>98.73684210526315</v>
      </c>
      <c r="I38" s="505"/>
      <c r="J38" s="505" t="s">
        <v>7</v>
      </c>
      <c r="K38" s="508" t="s">
        <v>379</v>
      </c>
      <c r="L38" s="505" t="s">
        <v>38</v>
      </c>
      <c r="M38" s="505">
        <v>60</v>
      </c>
      <c r="N38" s="505">
        <v>60</v>
      </c>
      <c r="O38" s="509">
        <f>IF(N38/M38*100&gt;110,110,N38/M38*100)</f>
        <v>100</v>
      </c>
      <c r="P38" s="136"/>
      <c r="Q38" s="506"/>
      <c r="R38" s="505"/>
      <c r="S38" s="579"/>
      <c r="T38" s="110"/>
    </row>
    <row r="39" spans="1:21" s="111" customFormat="1" ht="69.75" x14ac:dyDescent="0.35">
      <c r="A39" s="576"/>
      <c r="B39" s="574"/>
      <c r="C39" s="507"/>
      <c r="D39" s="510"/>
      <c r="E39" s="505"/>
      <c r="F39" s="505"/>
      <c r="G39" s="505"/>
      <c r="H39" s="509"/>
      <c r="I39" s="505"/>
      <c r="J39" s="505" t="s">
        <v>8</v>
      </c>
      <c r="K39" s="508" t="s">
        <v>377</v>
      </c>
      <c r="L39" s="505" t="s">
        <v>38</v>
      </c>
      <c r="M39" s="505">
        <v>168</v>
      </c>
      <c r="N39" s="505">
        <v>168</v>
      </c>
      <c r="O39" s="509">
        <f>IF(N39/M39*100&gt;110,110,N39/M39*100)</f>
        <v>100</v>
      </c>
      <c r="P39" s="136"/>
      <c r="Q39" s="506"/>
      <c r="R39" s="505"/>
      <c r="S39" s="579"/>
      <c r="T39" s="110"/>
    </row>
    <row r="40" spans="1:21" s="111" customFormat="1" ht="35.25" customHeight="1" x14ac:dyDescent="0.35">
      <c r="A40" s="576"/>
      <c r="B40" s="574"/>
      <c r="C40" s="507"/>
      <c r="D40" s="510"/>
      <c r="E40" s="505"/>
      <c r="F40" s="505"/>
      <c r="G40" s="505"/>
      <c r="H40" s="509"/>
      <c r="I40" s="505"/>
      <c r="J40" s="505" t="s">
        <v>9</v>
      </c>
      <c r="K40" s="508" t="s">
        <v>464</v>
      </c>
      <c r="L40" s="505" t="s">
        <v>38</v>
      </c>
      <c r="M40" s="505">
        <v>22</v>
      </c>
      <c r="N40" s="505">
        <v>22</v>
      </c>
      <c r="O40" s="509">
        <f>IF(N40/M40*100&gt;110,110,N40/M40*100)</f>
        <v>100</v>
      </c>
      <c r="P40" s="136"/>
      <c r="Q40" s="506"/>
      <c r="R40" s="505"/>
      <c r="S40" s="579"/>
      <c r="T40" s="110"/>
    </row>
    <row r="41" spans="1:21" s="124" customFormat="1" ht="39.75" customHeight="1" x14ac:dyDescent="0.35">
      <c r="A41" s="576"/>
      <c r="B41" s="574"/>
      <c r="C41" s="182"/>
      <c r="D41" s="183" t="s">
        <v>6</v>
      </c>
      <c r="E41" s="184"/>
      <c r="F41" s="185"/>
      <c r="G41" s="186"/>
      <c r="H41" s="187"/>
      <c r="I41" s="187">
        <f>H38</f>
        <v>98.73684210526315</v>
      </c>
      <c r="J41" s="184"/>
      <c r="K41" s="183" t="s">
        <v>6</v>
      </c>
      <c r="L41" s="184"/>
      <c r="M41" s="188"/>
      <c r="N41" s="188"/>
      <c r="O41" s="187"/>
      <c r="P41" s="187">
        <f>(O38+O39+O40)/3</f>
        <v>100</v>
      </c>
      <c r="Q41" s="187">
        <f>(I41+P41)/2</f>
        <v>99.368421052631575</v>
      </c>
      <c r="R41" s="191" t="s">
        <v>608</v>
      </c>
      <c r="S41" s="579"/>
      <c r="T41" s="110"/>
      <c r="U41" s="189"/>
    </row>
    <row r="42" spans="1:21" s="111" customFormat="1" ht="72" customHeight="1" x14ac:dyDescent="0.35">
      <c r="A42" s="576"/>
      <c r="B42" s="574"/>
      <c r="C42" s="500" t="s">
        <v>13</v>
      </c>
      <c r="D42" s="112" t="s">
        <v>90</v>
      </c>
      <c r="E42" s="505"/>
      <c r="F42" s="505"/>
      <c r="G42" s="505"/>
      <c r="H42" s="506"/>
      <c r="I42" s="113"/>
      <c r="J42" s="500" t="s">
        <v>13</v>
      </c>
      <c r="K42" s="112" t="s">
        <v>90</v>
      </c>
      <c r="L42" s="114"/>
      <c r="M42" s="138"/>
      <c r="N42" s="138"/>
      <c r="O42" s="506"/>
      <c r="P42" s="136"/>
      <c r="Q42" s="506"/>
      <c r="R42" s="505"/>
      <c r="S42" s="579"/>
      <c r="T42" s="110"/>
    </row>
    <row r="43" spans="1:21" s="111" customFormat="1" ht="65.25" customHeight="1" x14ac:dyDescent="0.35">
      <c r="A43" s="576"/>
      <c r="B43" s="574"/>
      <c r="C43" s="507" t="s">
        <v>14</v>
      </c>
      <c r="D43" s="510" t="s">
        <v>88</v>
      </c>
      <c r="E43" s="505" t="s">
        <v>25</v>
      </c>
      <c r="F43" s="505">
        <v>95</v>
      </c>
      <c r="G43" s="505">
        <v>100</v>
      </c>
      <c r="H43" s="509">
        <f>IF(G43/F43*100&gt;100,100,G43/F43*100)</f>
        <v>100</v>
      </c>
      <c r="I43" s="114"/>
      <c r="J43" s="594" t="s">
        <v>14</v>
      </c>
      <c r="K43" s="596" t="s">
        <v>317</v>
      </c>
      <c r="L43" s="596" t="s">
        <v>38</v>
      </c>
      <c r="M43" s="592">
        <v>248</v>
      </c>
      <c r="N43" s="592">
        <v>248</v>
      </c>
      <c r="O43" s="586">
        <f>IF(N43/M43*100&gt;110,110,N43/M43*100)</f>
        <v>100</v>
      </c>
      <c r="P43" s="588"/>
      <c r="Q43" s="590"/>
      <c r="R43" s="592"/>
      <c r="S43" s="579"/>
      <c r="T43" s="110"/>
    </row>
    <row r="44" spans="1:21" s="111" customFormat="1" ht="65.25" customHeight="1" x14ac:dyDescent="0.35">
      <c r="A44" s="576"/>
      <c r="B44" s="574"/>
      <c r="C44" s="507" t="s">
        <v>15</v>
      </c>
      <c r="D44" s="510" t="s">
        <v>91</v>
      </c>
      <c r="E44" s="505" t="s">
        <v>92</v>
      </c>
      <c r="F44" s="505">
        <v>35</v>
      </c>
      <c r="G44" s="505">
        <v>27.3</v>
      </c>
      <c r="H44" s="509">
        <f>IF(F44/G44*100&gt;100,100,F44/G44*100)</f>
        <v>100</v>
      </c>
      <c r="I44" s="114"/>
      <c r="J44" s="595"/>
      <c r="K44" s="597"/>
      <c r="L44" s="597"/>
      <c r="M44" s="593"/>
      <c r="N44" s="593"/>
      <c r="O44" s="587"/>
      <c r="P44" s="589"/>
      <c r="Q44" s="591"/>
      <c r="R44" s="593"/>
      <c r="S44" s="579"/>
      <c r="T44" s="110"/>
    </row>
    <row r="45" spans="1:21" s="111" customFormat="1" x14ac:dyDescent="0.35">
      <c r="A45" s="576"/>
      <c r="B45" s="574"/>
      <c r="C45" s="507"/>
      <c r="D45" s="510"/>
      <c r="E45" s="505"/>
      <c r="F45" s="505"/>
      <c r="G45" s="505"/>
      <c r="H45" s="509"/>
      <c r="I45" s="114"/>
      <c r="J45" s="118" t="s">
        <v>15</v>
      </c>
      <c r="K45" s="116" t="s">
        <v>313</v>
      </c>
      <c r="L45" s="114" t="s">
        <v>38</v>
      </c>
      <c r="M45" s="505">
        <v>2</v>
      </c>
      <c r="N45" s="505">
        <v>2</v>
      </c>
      <c r="O45" s="509">
        <f>IF(N45/M45*100&gt;110,110,N45/M45*100)</f>
        <v>100</v>
      </c>
      <c r="P45" s="136"/>
      <c r="Q45" s="506"/>
      <c r="R45" s="505"/>
      <c r="S45" s="579"/>
      <c r="T45" s="110"/>
    </row>
    <row r="46" spans="1:21" s="124" customFormat="1" ht="39.75" customHeight="1" x14ac:dyDescent="0.35">
      <c r="A46" s="576"/>
      <c r="B46" s="574"/>
      <c r="C46" s="182"/>
      <c r="D46" s="183" t="s">
        <v>6</v>
      </c>
      <c r="E46" s="184"/>
      <c r="F46" s="185"/>
      <c r="G46" s="186"/>
      <c r="H46" s="187"/>
      <c r="I46" s="187">
        <f>(H43+H44)/2</f>
        <v>100</v>
      </c>
      <c r="J46" s="184"/>
      <c r="K46" s="183" t="s">
        <v>6</v>
      </c>
      <c r="L46" s="184"/>
      <c r="M46" s="188"/>
      <c r="N46" s="188"/>
      <c r="O46" s="187"/>
      <c r="P46" s="187">
        <f>(O45+O43)/2</f>
        <v>100</v>
      </c>
      <c r="Q46" s="187">
        <f>(I46+P46)/2</f>
        <v>100</v>
      </c>
      <c r="R46" s="191" t="s">
        <v>31</v>
      </c>
      <c r="S46" s="579"/>
      <c r="T46" s="110"/>
      <c r="U46" s="189"/>
    </row>
    <row r="47" spans="1:21" s="111" customFormat="1" ht="93.75" customHeight="1" x14ac:dyDescent="0.35">
      <c r="A47" s="576"/>
      <c r="B47" s="574"/>
      <c r="C47" s="500" t="s">
        <v>28</v>
      </c>
      <c r="D47" s="112" t="s">
        <v>380</v>
      </c>
      <c r="E47" s="505"/>
      <c r="F47" s="505"/>
      <c r="G47" s="505"/>
      <c r="H47" s="506"/>
      <c r="I47" s="506"/>
      <c r="J47" s="120" t="s">
        <v>28</v>
      </c>
      <c r="K47" s="135" t="str">
        <f>D47</f>
        <v>Предоставление консультационных и методических услуг</v>
      </c>
      <c r="L47" s="505"/>
      <c r="M47" s="140"/>
      <c r="N47" s="140"/>
      <c r="O47" s="506"/>
      <c r="P47" s="136"/>
      <c r="Q47" s="506"/>
      <c r="R47" s="507"/>
      <c r="S47" s="579"/>
      <c r="T47" s="110"/>
    </row>
    <row r="48" spans="1:21" s="111" customFormat="1" ht="81.75" customHeight="1" x14ac:dyDescent="0.35">
      <c r="A48" s="576"/>
      <c r="B48" s="574"/>
      <c r="C48" s="507" t="s">
        <v>29</v>
      </c>
      <c r="D48" s="510" t="s">
        <v>314</v>
      </c>
      <c r="E48" s="505" t="s">
        <v>318</v>
      </c>
      <c r="F48" s="505">
        <v>50</v>
      </c>
      <c r="G48" s="505">
        <v>50</v>
      </c>
      <c r="H48" s="509">
        <f>IF(G48/F48*100&gt;100,100,G48/F48*100)</f>
        <v>100</v>
      </c>
      <c r="I48" s="505"/>
      <c r="J48" s="139" t="s">
        <v>29</v>
      </c>
      <c r="K48" s="508" t="s">
        <v>93</v>
      </c>
      <c r="L48" s="505" t="s">
        <v>36</v>
      </c>
      <c r="M48" s="140">
        <v>100</v>
      </c>
      <c r="N48" s="140">
        <v>100</v>
      </c>
      <c r="O48" s="509">
        <f>IF(N48/M48*100&gt;110,110,N48/M48*100)</f>
        <v>100</v>
      </c>
      <c r="P48" s="136"/>
      <c r="Q48" s="506"/>
      <c r="R48" s="505"/>
      <c r="S48" s="579"/>
      <c r="T48" s="110"/>
    </row>
    <row r="49" spans="1:23" s="124" customFormat="1" ht="43.5" customHeight="1" x14ac:dyDescent="0.35">
      <c r="A49" s="576"/>
      <c r="B49" s="574"/>
      <c r="C49" s="191"/>
      <c r="D49" s="183" t="s">
        <v>6</v>
      </c>
      <c r="E49" s="191"/>
      <c r="F49" s="184"/>
      <c r="G49" s="184"/>
      <c r="H49" s="187"/>
      <c r="I49" s="187">
        <f>H48</f>
        <v>100</v>
      </c>
      <c r="J49" s="182"/>
      <c r="K49" s="183" t="s">
        <v>6</v>
      </c>
      <c r="L49" s="184"/>
      <c r="M49" s="188"/>
      <c r="N49" s="188"/>
      <c r="O49" s="187"/>
      <c r="P49" s="187">
        <f>O48</f>
        <v>100</v>
      </c>
      <c r="Q49" s="187">
        <f>(I49+P49)/2</f>
        <v>100</v>
      </c>
      <c r="R49" s="191" t="s">
        <v>31</v>
      </c>
      <c r="S49" s="579"/>
      <c r="T49" s="110"/>
    </row>
    <row r="50" spans="1:23" s="111" customFormat="1" ht="87" customHeight="1" x14ac:dyDescent="0.35">
      <c r="A50" s="576" t="s">
        <v>75</v>
      </c>
      <c r="B50" s="574" t="s">
        <v>465</v>
      </c>
      <c r="C50" s="500" t="s">
        <v>12</v>
      </c>
      <c r="D50" s="112" t="s">
        <v>87</v>
      </c>
      <c r="E50" s="120"/>
      <c r="F50" s="120"/>
      <c r="G50" s="120"/>
      <c r="H50" s="506"/>
      <c r="I50" s="113"/>
      <c r="J50" s="502" t="s">
        <v>12</v>
      </c>
      <c r="K50" s="112" t="s">
        <v>87</v>
      </c>
      <c r="L50" s="114"/>
      <c r="M50" s="505"/>
      <c r="N50" s="505"/>
      <c r="O50" s="506"/>
      <c r="P50" s="136"/>
      <c r="Q50" s="506"/>
      <c r="R50" s="114"/>
      <c r="S50" s="579" t="s">
        <v>279</v>
      </c>
      <c r="T50" s="110"/>
    </row>
    <row r="51" spans="1:23" s="111" customFormat="1" ht="69.75" x14ac:dyDescent="0.35">
      <c r="A51" s="576"/>
      <c r="B51" s="574"/>
      <c r="C51" s="507" t="s">
        <v>7</v>
      </c>
      <c r="D51" s="510" t="s">
        <v>88</v>
      </c>
      <c r="E51" s="505" t="s">
        <v>25</v>
      </c>
      <c r="F51" s="505">
        <v>95</v>
      </c>
      <c r="G51" s="505">
        <v>98.8</v>
      </c>
      <c r="H51" s="509">
        <f>IF(G51/F51*100&gt;100,100,G51/F51*100)</f>
        <v>100</v>
      </c>
      <c r="I51" s="114"/>
      <c r="J51" s="114" t="s">
        <v>7</v>
      </c>
      <c r="K51" s="116" t="s">
        <v>316</v>
      </c>
      <c r="L51" s="114" t="s">
        <v>38</v>
      </c>
      <c r="M51" s="505">
        <v>106</v>
      </c>
      <c r="N51" s="505">
        <v>106</v>
      </c>
      <c r="O51" s="509">
        <f>IF(N51/M51*100&gt;110,110,N51/M51*100)</f>
        <v>100</v>
      </c>
      <c r="P51" s="136"/>
      <c r="Q51" s="506"/>
      <c r="R51" s="505"/>
      <c r="S51" s="579"/>
      <c r="T51" s="110"/>
    </row>
    <row r="52" spans="1:23" s="111" customFormat="1" ht="69.75" x14ac:dyDescent="0.35">
      <c r="A52" s="576"/>
      <c r="B52" s="574"/>
      <c r="C52" s="507"/>
      <c r="D52" s="510"/>
      <c r="E52" s="505"/>
      <c r="F52" s="505"/>
      <c r="G52" s="505"/>
      <c r="H52" s="509"/>
      <c r="I52" s="114"/>
      <c r="J52" s="114" t="s">
        <v>8</v>
      </c>
      <c r="K52" s="116" t="s">
        <v>312</v>
      </c>
      <c r="L52" s="114" t="s">
        <v>38</v>
      </c>
      <c r="M52" s="505">
        <v>359</v>
      </c>
      <c r="N52" s="505">
        <v>359</v>
      </c>
      <c r="O52" s="509">
        <f>IF(N52/M52*100&gt;110,110,N52/M52*100)</f>
        <v>100</v>
      </c>
      <c r="P52" s="136"/>
      <c r="Q52" s="506"/>
      <c r="R52" s="505"/>
      <c r="S52" s="579"/>
      <c r="T52" s="110"/>
    </row>
    <row r="53" spans="1:23" s="111" customFormat="1" ht="46.5" x14ac:dyDescent="0.35">
      <c r="A53" s="576"/>
      <c r="B53" s="574"/>
      <c r="C53" s="507"/>
      <c r="D53" s="510"/>
      <c r="E53" s="505"/>
      <c r="F53" s="505"/>
      <c r="G53" s="505"/>
      <c r="H53" s="509"/>
      <c r="I53" s="114"/>
      <c r="J53" s="114" t="s">
        <v>9</v>
      </c>
      <c r="K53" s="116" t="s">
        <v>315</v>
      </c>
      <c r="L53" s="114" t="s">
        <v>38</v>
      </c>
      <c r="M53" s="505">
        <v>44</v>
      </c>
      <c r="N53" s="505">
        <v>44</v>
      </c>
      <c r="O53" s="509">
        <f>IF(N53/M53*100&gt;110,110,N53/M53*100)</f>
        <v>100</v>
      </c>
      <c r="P53" s="136"/>
      <c r="Q53" s="506"/>
      <c r="R53" s="505"/>
      <c r="S53" s="579"/>
      <c r="T53" s="110"/>
    </row>
    <row r="54" spans="1:23" s="124" customFormat="1" ht="39.75" customHeight="1" x14ac:dyDescent="0.35">
      <c r="A54" s="576"/>
      <c r="B54" s="574"/>
      <c r="C54" s="182"/>
      <c r="D54" s="183" t="s">
        <v>6</v>
      </c>
      <c r="E54" s="184"/>
      <c r="F54" s="185"/>
      <c r="G54" s="186"/>
      <c r="H54" s="187"/>
      <c r="I54" s="187">
        <f>H51</f>
        <v>100</v>
      </c>
      <c r="J54" s="184"/>
      <c r="K54" s="183" t="s">
        <v>6</v>
      </c>
      <c r="L54" s="184"/>
      <c r="M54" s="188"/>
      <c r="N54" s="188"/>
      <c r="O54" s="187"/>
      <c r="P54" s="187">
        <f>(O53+O51+O52)/3</f>
        <v>100</v>
      </c>
      <c r="Q54" s="187">
        <f>(I54+P54)/2</f>
        <v>100</v>
      </c>
      <c r="R54" s="191" t="s">
        <v>31</v>
      </c>
      <c r="S54" s="579"/>
      <c r="T54" s="110"/>
      <c r="U54" s="189"/>
    </row>
    <row r="55" spans="1:23" s="111" customFormat="1" ht="72" customHeight="1" x14ac:dyDescent="0.35">
      <c r="A55" s="576"/>
      <c r="B55" s="574"/>
      <c r="C55" s="500" t="s">
        <v>13</v>
      </c>
      <c r="D55" s="112" t="s">
        <v>90</v>
      </c>
      <c r="E55" s="505"/>
      <c r="F55" s="505"/>
      <c r="G55" s="505"/>
      <c r="H55" s="506"/>
      <c r="I55" s="113"/>
      <c r="J55" s="500" t="s">
        <v>13</v>
      </c>
      <c r="K55" s="112" t="s">
        <v>90</v>
      </c>
      <c r="L55" s="114"/>
      <c r="M55" s="138"/>
      <c r="N55" s="138"/>
      <c r="O55" s="506"/>
      <c r="P55" s="136"/>
      <c r="Q55" s="506"/>
      <c r="R55" s="114"/>
      <c r="S55" s="579"/>
      <c r="T55" s="110"/>
    </row>
    <row r="56" spans="1:23" s="111" customFormat="1" ht="78.75" customHeight="1" x14ac:dyDescent="0.35">
      <c r="A56" s="576"/>
      <c r="B56" s="574"/>
      <c r="C56" s="507" t="s">
        <v>14</v>
      </c>
      <c r="D56" s="510" t="s">
        <v>88</v>
      </c>
      <c r="E56" s="505" t="s">
        <v>25</v>
      </c>
      <c r="F56" s="505">
        <v>95</v>
      </c>
      <c r="G56" s="505">
        <v>99.4</v>
      </c>
      <c r="H56" s="509">
        <f>IF(G56/F56*100&gt;100,100,G56/F56*100)</f>
        <v>100</v>
      </c>
      <c r="I56" s="114"/>
      <c r="J56" s="118" t="s">
        <v>14</v>
      </c>
      <c r="K56" s="116" t="s">
        <v>320</v>
      </c>
      <c r="L56" s="114" t="s">
        <v>38</v>
      </c>
      <c r="M56" s="505">
        <v>498</v>
      </c>
      <c r="N56" s="505">
        <v>498</v>
      </c>
      <c r="O56" s="509">
        <f>IF(N56/M56*100&gt;110,110,N56/M56*100)</f>
        <v>100</v>
      </c>
      <c r="P56" s="136"/>
      <c r="Q56" s="506"/>
      <c r="R56" s="505"/>
      <c r="S56" s="579"/>
      <c r="T56" s="110"/>
    </row>
    <row r="57" spans="1:23" s="111" customFormat="1" ht="95.25" customHeight="1" x14ac:dyDescent="0.35">
      <c r="A57" s="576"/>
      <c r="B57" s="574"/>
      <c r="C57" s="507" t="s">
        <v>15</v>
      </c>
      <c r="D57" s="510" t="s">
        <v>91</v>
      </c>
      <c r="E57" s="505" t="s">
        <v>92</v>
      </c>
      <c r="F57" s="505">
        <v>35</v>
      </c>
      <c r="G57" s="505">
        <v>29.2</v>
      </c>
      <c r="H57" s="509">
        <f>IF(F57/G57*100&gt;100,100,F57/G57*100)</f>
        <v>100</v>
      </c>
      <c r="I57" s="114"/>
      <c r="J57" s="118" t="s">
        <v>15</v>
      </c>
      <c r="K57" s="116" t="s">
        <v>463</v>
      </c>
      <c r="L57" s="114" t="s">
        <v>38</v>
      </c>
      <c r="M57" s="505">
        <v>2</v>
      </c>
      <c r="N57" s="505">
        <v>2</v>
      </c>
      <c r="O57" s="509">
        <f>IF(N57/M57*100&gt;110,110,N57/M57*100)</f>
        <v>100</v>
      </c>
      <c r="P57" s="136"/>
      <c r="Q57" s="506"/>
      <c r="R57" s="505"/>
      <c r="S57" s="579"/>
      <c r="T57" s="110"/>
      <c r="W57" s="125"/>
    </row>
    <row r="58" spans="1:23" s="111" customFormat="1" x14ac:dyDescent="0.35">
      <c r="A58" s="576"/>
      <c r="B58" s="574"/>
      <c r="C58" s="507"/>
      <c r="D58" s="510"/>
      <c r="E58" s="505"/>
      <c r="F58" s="505"/>
      <c r="G58" s="505"/>
      <c r="H58" s="509"/>
      <c r="I58" s="114"/>
      <c r="J58" s="118" t="s">
        <v>39</v>
      </c>
      <c r="K58" s="116" t="s">
        <v>313</v>
      </c>
      <c r="L58" s="114" t="s">
        <v>38</v>
      </c>
      <c r="M58" s="505">
        <v>3</v>
      </c>
      <c r="N58" s="505">
        <v>3</v>
      </c>
      <c r="O58" s="509">
        <f>IF(N58/M58*100&gt;110,110,N58/M58*100)</f>
        <v>100</v>
      </c>
      <c r="P58" s="136"/>
      <c r="Q58" s="506"/>
      <c r="R58" s="505"/>
      <c r="S58" s="579"/>
      <c r="T58" s="110"/>
      <c r="W58" s="125"/>
    </row>
    <row r="59" spans="1:23" s="124" customFormat="1" ht="39.75" customHeight="1" x14ac:dyDescent="0.35">
      <c r="A59" s="576"/>
      <c r="B59" s="574"/>
      <c r="C59" s="182"/>
      <c r="D59" s="183" t="s">
        <v>6</v>
      </c>
      <c r="E59" s="184"/>
      <c r="F59" s="185"/>
      <c r="G59" s="186"/>
      <c r="H59" s="187"/>
      <c r="I59" s="187">
        <f>(H56+H57)/2</f>
        <v>100</v>
      </c>
      <c r="J59" s="184"/>
      <c r="K59" s="183" t="s">
        <v>6</v>
      </c>
      <c r="L59" s="184"/>
      <c r="M59" s="188"/>
      <c r="N59" s="188"/>
      <c r="O59" s="187"/>
      <c r="P59" s="187">
        <f>(O58+O56+O57)/3</f>
        <v>100</v>
      </c>
      <c r="Q59" s="187">
        <f>(I59+P59)/2</f>
        <v>100</v>
      </c>
      <c r="R59" s="191" t="s">
        <v>31</v>
      </c>
      <c r="S59" s="579"/>
      <c r="T59" s="110"/>
      <c r="U59" s="189"/>
    </row>
    <row r="60" spans="1:23" s="111" customFormat="1" ht="81.75" customHeight="1" x14ac:dyDescent="0.35">
      <c r="A60" s="576" t="s">
        <v>76</v>
      </c>
      <c r="B60" s="574" t="s">
        <v>97</v>
      </c>
      <c r="C60" s="500" t="s">
        <v>12</v>
      </c>
      <c r="D60" s="112" t="s">
        <v>87</v>
      </c>
      <c r="E60" s="120"/>
      <c r="F60" s="120"/>
      <c r="G60" s="120"/>
      <c r="H60" s="506"/>
      <c r="I60" s="113"/>
      <c r="J60" s="502" t="s">
        <v>12</v>
      </c>
      <c r="K60" s="112" t="s">
        <v>87</v>
      </c>
      <c r="L60" s="114"/>
      <c r="M60" s="505"/>
      <c r="N60" s="505"/>
      <c r="O60" s="506"/>
      <c r="P60" s="136"/>
      <c r="Q60" s="506"/>
      <c r="R60" s="507"/>
      <c r="S60" s="579" t="s">
        <v>279</v>
      </c>
      <c r="T60" s="110"/>
    </row>
    <row r="61" spans="1:23" s="111" customFormat="1" ht="69.75" x14ac:dyDescent="0.35">
      <c r="A61" s="576"/>
      <c r="B61" s="574"/>
      <c r="C61" s="507" t="s">
        <v>7</v>
      </c>
      <c r="D61" s="510" t="s">
        <v>88</v>
      </c>
      <c r="E61" s="505" t="s">
        <v>25</v>
      </c>
      <c r="F61" s="505">
        <v>95</v>
      </c>
      <c r="G61" s="505">
        <v>96</v>
      </c>
      <c r="H61" s="509">
        <f>IF(G61/F61*100&gt;100,100,G61/F61*100)</f>
        <v>100</v>
      </c>
      <c r="I61" s="114"/>
      <c r="J61" s="114" t="s">
        <v>7</v>
      </c>
      <c r="K61" s="116" t="s">
        <v>316</v>
      </c>
      <c r="L61" s="114" t="s">
        <v>38</v>
      </c>
      <c r="M61" s="505">
        <v>85</v>
      </c>
      <c r="N61" s="505">
        <v>85</v>
      </c>
      <c r="O61" s="509">
        <f>IF(N61/M61*100&gt;110,110,N61/M61*100)</f>
        <v>100</v>
      </c>
      <c r="P61" s="136"/>
      <c r="Q61" s="506"/>
      <c r="R61" s="505"/>
      <c r="S61" s="579"/>
      <c r="T61" s="110"/>
    </row>
    <row r="62" spans="1:23" s="111" customFormat="1" ht="93" customHeight="1" x14ac:dyDescent="0.35">
      <c r="A62" s="576"/>
      <c r="B62" s="574"/>
      <c r="C62" s="507"/>
      <c r="D62" s="510"/>
      <c r="E62" s="505"/>
      <c r="F62" s="505"/>
      <c r="G62" s="505"/>
      <c r="H62" s="509"/>
      <c r="I62" s="114"/>
      <c r="J62" s="114" t="s">
        <v>8</v>
      </c>
      <c r="K62" s="116" t="s">
        <v>312</v>
      </c>
      <c r="L62" s="114" t="s">
        <v>38</v>
      </c>
      <c r="M62" s="505">
        <v>343</v>
      </c>
      <c r="N62" s="505">
        <v>343</v>
      </c>
      <c r="O62" s="509">
        <f>IF(N62/M62*100&gt;110,110,N62/M62*100)</f>
        <v>100</v>
      </c>
      <c r="P62" s="136"/>
      <c r="Q62" s="506"/>
      <c r="R62" s="505"/>
      <c r="S62" s="579"/>
      <c r="T62" s="110"/>
    </row>
    <row r="63" spans="1:23" s="111" customFormat="1" x14ac:dyDescent="0.35">
      <c r="A63" s="576"/>
      <c r="B63" s="574"/>
      <c r="C63" s="507"/>
      <c r="D63" s="510"/>
      <c r="E63" s="505"/>
      <c r="F63" s="505"/>
      <c r="G63" s="505"/>
      <c r="H63" s="509"/>
      <c r="I63" s="114"/>
      <c r="J63" s="114" t="s">
        <v>9</v>
      </c>
      <c r="K63" s="116" t="s">
        <v>322</v>
      </c>
      <c r="L63" s="114" t="s">
        <v>38</v>
      </c>
      <c r="M63" s="505">
        <v>53</v>
      </c>
      <c r="N63" s="505">
        <v>53</v>
      </c>
      <c r="O63" s="509">
        <f>IF(N63/M63*100&gt;110,110,N63/M63*100)</f>
        <v>100</v>
      </c>
      <c r="P63" s="136"/>
      <c r="Q63" s="506"/>
      <c r="R63" s="505"/>
      <c r="S63" s="579"/>
      <c r="T63" s="110"/>
    </row>
    <row r="64" spans="1:23" s="124" customFormat="1" ht="39.75" customHeight="1" x14ac:dyDescent="0.35">
      <c r="A64" s="576"/>
      <c r="B64" s="574"/>
      <c r="C64" s="182"/>
      <c r="D64" s="183" t="s">
        <v>6</v>
      </c>
      <c r="E64" s="184"/>
      <c r="F64" s="185"/>
      <c r="G64" s="186"/>
      <c r="H64" s="187"/>
      <c r="I64" s="187">
        <f>H61</f>
        <v>100</v>
      </c>
      <c r="J64" s="184"/>
      <c r="K64" s="183" t="s">
        <v>6</v>
      </c>
      <c r="L64" s="184"/>
      <c r="M64" s="188"/>
      <c r="N64" s="188"/>
      <c r="O64" s="187"/>
      <c r="P64" s="187">
        <f>(O63+O62+O61)/3</f>
        <v>100</v>
      </c>
      <c r="Q64" s="187">
        <f>(I64+P64)/2</f>
        <v>100</v>
      </c>
      <c r="R64" s="191" t="s">
        <v>31</v>
      </c>
      <c r="S64" s="579"/>
      <c r="T64" s="110"/>
      <c r="U64" s="189"/>
    </row>
    <row r="65" spans="1:21" s="111" customFormat="1" ht="67.5" customHeight="1" x14ac:dyDescent="0.35">
      <c r="A65" s="576"/>
      <c r="B65" s="574"/>
      <c r="C65" s="500" t="s">
        <v>13</v>
      </c>
      <c r="D65" s="112" t="s">
        <v>90</v>
      </c>
      <c r="E65" s="505"/>
      <c r="F65" s="505"/>
      <c r="G65" s="505"/>
      <c r="H65" s="506"/>
      <c r="I65" s="113"/>
      <c r="J65" s="500" t="s">
        <v>13</v>
      </c>
      <c r="K65" s="112" t="s">
        <v>90</v>
      </c>
      <c r="L65" s="114"/>
      <c r="M65" s="138"/>
      <c r="N65" s="138"/>
      <c r="O65" s="506"/>
      <c r="P65" s="136"/>
      <c r="Q65" s="506"/>
      <c r="R65" s="500"/>
      <c r="S65" s="579"/>
      <c r="T65" s="110"/>
    </row>
    <row r="66" spans="1:21" s="111" customFormat="1" ht="69.75" x14ac:dyDescent="0.35">
      <c r="A66" s="576"/>
      <c r="B66" s="574"/>
      <c r="C66" s="507" t="s">
        <v>14</v>
      </c>
      <c r="D66" s="510" t="s">
        <v>88</v>
      </c>
      <c r="E66" s="505" t="s">
        <v>25</v>
      </c>
      <c r="F66" s="505">
        <v>95</v>
      </c>
      <c r="G66" s="505">
        <v>99.8</v>
      </c>
      <c r="H66" s="509">
        <f>IF(G66/F66*100&gt;100,100,G66/F66*100)</f>
        <v>100</v>
      </c>
      <c r="I66" s="114"/>
      <c r="J66" s="118" t="s">
        <v>14</v>
      </c>
      <c r="K66" s="116" t="s">
        <v>317</v>
      </c>
      <c r="L66" s="114" t="s">
        <v>38</v>
      </c>
      <c r="M66" s="505">
        <v>469</v>
      </c>
      <c r="N66" s="505">
        <v>469</v>
      </c>
      <c r="O66" s="509">
        <f>IF(N66/M66*100&gt;110,110,N66/M66*100)</f>
        <v>100</v>
      </c>
      <c r="P66" s="136"/>
      <c r="Q66" s="506"/>
      <c r="R66" s="505"/>
      <c r="S66" s="579"/>
      <c r="T66" s="110"/>
    </row>
    <row r="67" spans="1:21" s="111" customFormat="1" ht="69.75" x14ac:dyDescent="0.35">
      <c r="A67" s="576"/>
      <c r="B67" s="574"/>
      <c r="C67" s="507" t="s">
        <v>15</v>
      </c>
      <c r="D67" s="510" t="s">
        <v>91</v>
      </c>
      <c r="E67" s="505" t="s">
        <v>92</v>
      </c>
      <c r="F67" s="505">
        <v>35</v>
      </c>
      <c r="G67" s="505">
        <v>11</v>
      </c>
      <c r="H67" s="509">
        <f t="shared" ref="H67:H121" si="0">IF(F67/G67*100&gt;100,100,F67/G67*100)</f>
        <v>100</v>
      </c>
      <c r="I67" s="114"/>
      <c r="J67" s="118" t="s">
        <v>15</v>
      </c>
      <c r="K67" s="116" t="s">
        <v>463</v>
      </c>
      <c r="L67" s="114" t="s">
        <v>38</v>
      </c>
      <c r="M67" s="505">
        <v>4</v>
      </c>
      <c r="N67" s="505">
        <v>4</v>
      </c>
      <c r="O67" s="509">
        <f>IF(N67/M67*100&gt;110,110,N67/M67*100)</f>
        <v>100</v>
      </c>
      <c r="P67" s="136"/>
      <c r="Q67" s="506"/>
      <c r="R67" s="505"/>
      <c r="S67" s="579"/>
      <c r="T67" s="110"/>
    </row>
    <row r="68" spans="1:21" s="111" customFormat="1" x14ac:dyDescent="0.35">
      <c r="A68" s="576"/>
      <c r="B68" s="574"/>
      <c r="C68" s="507"/>
      <c r="D68" s="510"/>
      <c r="E68" s="505"/>
      <c r="F68" s="505"/>
      <c r="G68" s="505"/>
      <c r="H68" s="509"/>
      <c r="I68" s="114"/>
      <c r="J68" s="118" t="s">
        <v>39</v>
      </c>
      <c r="K68" s="116" t="s">
        <v>313</v>
      </c>
      <c r="L68" s="114" t="s">
        <v>38</v>
      </c>
      <c r="M68" s="505">
        <v>8</v>
      </c>
      <c r="N68" s="505">
        <v>8</v>
      </c>
      <c r="O68" s="509">
        <f>IF(N68/M68*100&gt;110,110,N68/M68*100)</f>
        <v>100</v>
      </c>
      <c r="P68" s="136"/>
      <c r="Q68" s="506"/>
      <c r="R68" s="505"/>
      <c r="S68" s="579"/>
      <c r="T68" s="110"/>
    </row>
    <row r="69" spans="1:21" s="124" customFormat="1" ht="39.75" customHeight="1" x14ac:dyDescent="0.35">
      <c r="A69" s="576"/>
      <c r="B69" s="574"/>
      <c r="C69" s="182"/>
      <c r="D69" s="183" t="s">
        <v>6</v>
      </c>
      <c r="E69" s="184"/>
      <c r="F69" s="185"/>
      <c r="G69" s="186"/>
      <c r="H69" s="187"/>
      <c r="I69" s="187">
        <f>(H66+H67)/2</f>
        <v>100</v>
      </c>
      <c r="J69" s="184"/>
      <c r="K69" s="183" t="s">
        <v>6</v>
      </c>
      <c r="L69" s="184"/>
      <c r="M69" s="188"/>
      <c r="N69" s="188"/>
      <c r="O69" s="187"/>
      <c r="P69" s="187">
        <f>(O68+O66+O67)/3</f>
        <v>100</v>
      </c>
      <c r="Q69" s="187">
        <f>(I69+P69)/2</f>
        <v>100</v>
      </c>
      <c r="R69" s="191" t="s">
        <v>31</v>
      </c>
      <c r="S69" s="579"/>
      <c r="T69" s="110"/>
      <c r="U69" s="189"/>
    </row>
    <row r="70" spans="1:21" s="111" customFormat="1" ht="69" customHeight="1" x14ac:dyDescent="0.35">
      <c r="A70" s="576"/>
      <c r="B70" s="574"/>
      <c r="C70" s="500" t="s">
        <v>28</v>
      </c>
      <c r="D70" s="112" t="s">
        <v>380</v>
      </c>
      <c r="E70" s="505"/>
      <c r="F70" s="505"/>
      <c r="G70" s="505"/>
      <c r="H70" s="506"/>
      <c r="I70" s="113"/>
      <c r="J70" s="500" t="s">
        <v>28</v>
      </c>
      <c r="K70" s="112" t="str">
        <f>D70</f>
        <v>Предоставление консультационных и методических услуг</v>
      </c>
      <c r="L70" s="114"/>
      <c r="M70" s="140"/>
      <c r="N70" s="140"/>
      <c r="O70" s="506"/>
      <c r="P70" s="136"/>
      <c r="Q70" s="506"/>
      <c r="R70" s="507"/>
      <c r="S70" s="579"/>
      <c r="T70" s="110"/>
    </row>
    <row r="71" spans="1:21" s="111" customFormat="1" ht="69.75" x14ac:dyDescent="0.35">
      <c r="A71" s="576"/>
      <c r="B71" s="574"/>
      <c r="C71" s="507" t="s">
        <v>29</v>
      </c>
      <c r="D71" s="510" t="s">
        <v>314</v>
      </c>
      <c r="E71" s="505" t="s">
        <v>318</v>
      </c>
      <c r="F71" s="505">
        <v>50</v>
      </c>
      <c r="G71" s="505">
        <v>50</v>
      </c>
      <c r="H71" s="509">
        <f>IF(G71/F71*100&gt;100,100,G71/F71*100)</f>
        <v>100</v>
      </c>
      <c r="I71" s="114"/>
      <c r="J71" s="118" t="s">
        <v>29</v>
      </c>
      <c r="K71" s="116" t="s">
        <v>93</v>
      </c>
      <c r="L71" s="114" t="s">
        <v>36</v>
      </c>
      <c r="M71" s="140">
        <v>100</v>
      </c>
      <c r="N71" s="140">
        <v>100</v>
      </c>
      <c r="O71" s="509">
        <f>IF(N71/M71*100&gt;110,110,N71/M71*100)</f>
        <v>100</v>
      </c>
      <c r="P71" s="136"/>
      <c r="Q71" s="506"/>
      <c r="R71" s="505"/>
      <c r="S71" s="579"/>
      <c r="T71" s="110"/>
    </row>
    <row r="72" spans="1:21" s="124" customFormat="1" ht="40.5" customHeight="1" x14ac:dyDescent="0.35">
      <c r="A72" s="576"/>
      <c r="B72" s="574"/>
      <c r="C72" s="191"/>
      <c r="D72" s="183" t="s">
        <v>6</v>
      </c>
      <c r="E72" s="191"/>
      <c r="F72" s="184"/>
      <c r="G72" s="184"/>
      <c r="H72" s="187"/>
      <c r="I72" s="187">
        <f>H71</f>
        <v>100</v>
      </c>
      <c r="J72" s="182"/>
      <c r="K72" s="183" t="s">
        <v>6</v>
      </c>
      <c r="L72" s="184"/>
      <c r="M72" s="188"/>
      <c r="N72" s="188"/>
      <c r="O72" s="187"/>
      <c r="P72" s="187">
        <f>O71</f>
        <v>100</v>
      </c>
      <c r="Q72" s="187">
        <f>(I72+P72)/2</f>
        <v>100</v>
      </c>
      <c r="R72" s="191" t="s">
        <v>31</v>
      </c>
      <c r="S72" s="579"/>
      <c r="T72" s="110"/>
    </row>
    <row r="73" spans="1:21" s="111" customFormat="1" ht="62.25" customHeight="1" x14ac:dyDescent="0.35">
      <c r="A73" s="576" t="s">
        <v>77</v>
      </c>
      <c r="B73" s="574" t="s">
        <v>98</v>
      </c>
      <c r="C73" s="500" t="s">
        <v>12</v>
      </c>
      <c r="D73" s="112" t="s">
        <v>87</v>
      </c>
      <c r="E73" s="120"/>
      <c r="F73" s="120"/>
      <c r="G73" s="120"/>
      <c r="H73" s="506"/>
      <c r="I73" s="113"/>
      <c r="J73" s="502" t="s">
        <v>12</v>
      </c>
      <c r="K73" s="112" t="s">
        <v>87</v>
      </c>
      <c r="L73" s="114"/>
      <c r="M73" s="505"/>
      <c r="N73" s="505"/>
      <c r="O73" s="506"/>
      <c r="P73" s="136"/>
      <c r="Q73" s="506"/>
      <c r="R73" s="507"/>
      <c r="S73" s="579" t="s">
        <v>279</v>
      </c>
      <c r="T73" s="110"/>
    </row>
    <row r="74" spans="1:21" s="111" customFormat="1" ht="69.75" x14ac:dyDescent="0.35">
      <c r="A74" s="576"/>
      <c r="B74" s="574"/>
      <c r="C74" s="507" t="s">
        <v>7</v>
      </c>
      <c r="D74" s="510" t="s">
        <v>88</v>
      </c>
      <c r="E74" s="505" t="s">
        <v>25</v>
      </c>
      <c r="F74" s="505">
        <v>95</v>
      </c>
      <c r="G74" s="505">
        <v>98.7</v>
      </c>
      <c r="H74" s="509">
        <f>IF(G74/F74*100&gt;100,100,G74/F74*100)</f>
        <v>100</v>
      </c>
      <c r="I74" s="114"/>
      <c r="J74" s="114" t="s">
        <v>7</v>
      </c>
      <c r="K74" s="116" t="s">
        <v>316</v>
      </c>
      <c r="L74" s="114" t="s">
        <v>38</v>
      </c>
      <c r="M74" s="505">
        <v>66</v>
      </c>
      <c r="N74" s="505">
        <v>66</v>
      </c>
      <c r="O74" s="509">
        <f>IF(N74/M74*100&gt;110,110,N74/M74*100)</f>
        <v>100</v>
      </c>
      <c r="P74" s="136"/>
      <c r="Q74" s="506"/>
      <c r="R74" s="505"/>
      <c r="S74" s="579"/>
      <c r="T74" s="110"/>
    </row>
    <row r="75" spans="1:21" s="111" customFormat="1" ht="69.75" x14ac:dyDescent="0.35">
      <c r="A75" s="576"/>
      <c r="B75" s="574"/>
      <c r="C75" s="507"/>
      <c r="D75" s="510"/>
      <c r="E75" s="505"/>
      <c r="F75" s="505"/>
      <c r="G75" s="505"/>
      <c r="H75" s="509"/>
      <c r="I75" s="114"/>
      <c r="J75" s="114" t="s">
        <v>8</v>
      </c>
      <c r="K75" s="116" t="s">
        <v>312</v>
      </c>
      <c r="L75" s="114" t="s">
        <v>38</v>
      </c>
      <c r="M75" s="505">
        <v>111</v>
      </c>
      <c r="N75" s="505">
        <v>111</v>
      </c>
      <c r="O75" s="509">
        <f>IF(N75/M75*100&gt;110,110,N75/M75*100)</f>
        <v>100</v>
      </c>
      <c r="P75" s="136"/>
      <c r="Q75" s="506"/>
      <c r="R75" s="505"/>
      <c r="S75" s="579"/>
      <c r="T75" s="110"/>
    </row>
    <row r="76" spans="1:21" s="111" customFormat="1" ht="65.25" customHeight="1" x14ac:dyDescent="0.35">
      <c r="A76" s="576"/>
      <c r="B76" s="574"/>
      <c r="C76" s="507"/>
      <c r="D76" s="510"/>
      <c r="E76" s="505"/>
      <c r="F76" s="505"/>
      <c r="G76" s="505"/>
      <c r="H76" s="509"/>
      <c r="I76" s="114"/>
      <c r="J76" s="114" t="s">
        <v>9</v>
      </c>
      <c r="K76" s="116" t="s">
        <v>315</v>
      </c>
      <c r="L76" s="114" t="s">
        <v>38</v>
      </c>
      <c r="M76" s="505">
        <v>21</v>
      </c>
      <c r="N76" s="505">
        <v>21</v>
      </c>
      <c r="O76" s="509">
        <f>IF(N76/M76*100&gt;110,110,N76/M76*100)</f>
        <v>100</v>
      </c>
      <c r="P76" s="136"/>
      <c r="Q76" s="506"/>
      <c r="R76" s="505"/>
      <c r="S76" s="579"/>
      <c r="T76" s="110"/>
    </row>
    <row r="77" spans="1:21" s="124" customFormat="1" ht="39.75" customHeight="1" x14ac:dyDescent="0.35">
      <c r="A77" s="576"/>
      <c r="B77" s="574"/>
      <c r="C77" s="182"/>
      <c r="D77" s="183" t="s">
        <v>6</v>
      </c>
      <c r="E77" s="184"/>
      <c r="F77" s="185"/>
      <c r="G77" s="186"/>
      <c r="H77" s="187"/>
      <c r="I77" s="187">
        <f>H74</f>
        <v>100</v>
      </c>
      <c r="J77" s="184"/>
      <c r="K77" s="183" t="s">
        <v>6</v>
      </c>
      <c r="L77" s="184"/>
      <c r="M77" s="188"/>
      <c r="N77" s="188"/>
      <c r="O77" s="187"/>
      <c r="P77" s="187">
        <f>(O76+O74+O75)/3</f>
        <v>100</v>
      </c>
      <c r="Q77" s="187">
        <f>(I77+P77)/2</f>
        <v>100</v>
      </c>
      <c r="R77" s="191" t="s">
        <v>31</v>
      </c>
      <c r="S77" s="579"/>
      <c r="T77" s="110"/>
      <c r="U77" s="189"/>
    </row>
    <row r="78" spans="1:21" s="111" customFormat="1" ht="47.25" customHeight="1" x14ac:dyDescent="0.35">
      <c r="A78" s="576"/>
      <c r="B78" s="574"/>
      <c r="C78" s="500" t="s">
        <v>13</v>
      </c>
      <c r="D78" s="112" t="s">
        <v>90</v>
      </c>
      <c r="E78" s="505"/>
      <c r="F78" s="505"/>
      <c r="G78" s="505"/>
      <c r="H78" s="506"/>
      <c r="I78" s="506"/>
      <c r="J78" s="120" t="s">
        <v>13</v>
      </c>
      <c r="K78" s="135" t="s">
        <v>90</v>
      </c>
      <c r="L78" s="505"/>
      <c r="M78" s="138"/>
      <c r="N78" s="138"/>
      <c r="O78" s="506"/>
      <c r="P78" s="136"/>
      <c r="Q78" s="506"/>
      <c r="R78" s="507"/>
      <c r="S78" s="579"/>
      <c r="T78" s="110"/>
    </row>
    <row r="79" spans="1:21" s="111" customFormat="1" ht="69.75" x14ac:dyDescent="0.35">
      <c r="A79" s="576"/>
      <c r="B79" s="574"/>
      <c r="C79" s="507" t="s">
        <v>14</v>
      </c>
      <c r="D79" s="510" t="s">
        <v>88</v>
      </c>
      <c r="E79" s="505" t="s">
        <v>25</v>
      </c>
      <c r="F79" s="505">
        <v>95</v>
      </c>
      <c r="G79" s="505">
        <v>99.5</v>
      </c>
      <c r="H79" s="509">
        <f>IF(G79/F79*100&gt;100,100,G79/F79*100)</f>
        <v>100</v>
      </c>
      <c r="I79" s="505"/>
      <c r="J79" s="598" t="s">
        <v>14</v>
      </c>
      <c r="K79" s="592" t="s">
        <v>320</v>
      </c>
      <c r="L79" s="592" t="s">
        <v>38</v>
      </c>
      <c r="M79" s="592">
        <v>198</v>
      </c>
      <c r="N79" s="592">
        <v>198</v>
      </c>
      <c r="O79" s="586">
        <f>IF(N79/M79*100&gt;110,110,N79/M79*100)</f>
        <v>100</v>
      </c>
      <c r="P79" s="588"/>
      <c r="Q79" s="590"/>
      <c r="R79" s="592"/>
      <c r="S79" s="579"/>
      <c r="T79" s="110"/>
    </row>
    <row r="80" spans="1:21" s="111" customFormat="1" ht="69.75" x14ac:dyDescent="0.35">
      <c r="A80" s="576"/>
      <c r="B80" s="574"/>
      <c r="C80" s="507" t="s">
        <v>15</v>
      </c>
      <c r="D80" s="510" t="s">
        <v>91</v>
      </c>
      <c r="E80" s="505" t="s">
        <v>92</v>
      </c>
      <c r="F80" s="505">
        <v>35</v>
      </c>
      <c r="G80" s="505">
        <v>28.4</v>
      </c>
      <c r="H80" s="509">
        <f t="shared" si="0"/>
        <v>100</v>
      </c>
      <c r="I80" s="505"/>
      <c r="J80" s="599"/>
      <c r="K80" s="593"/>
      <c r="L80" s="593"/>
      <c r="M80" s="593"/>
      <c r="N80" s="593"/>
      <c r="O80" s="587"/>
      <c r="P80" s="589"/>
      <c r="Q80" s="591"/>
      <c r="R80" s="593"/>
      <c r="S80" s="579"/>
      <c r="T80" s="110"/>
    </row>
    <row r="81" spans="1:21" s="124" customFormat="1" ht="39.75" customHeight="1" x14ac:dyDescent="0.35">
      <c r="A81" s="576"/>
      <c r="B81" s="574"/>
      <c r="C81" s="182"/>
      <c r="D81" s="183" t="s">
        <v>6</v>
      </c>
      <c r="E81" s="184"/>
      <c r="F81" s="185"/>
      <c r="G81" s="186"/>
      <c r="H81" s="187"/>
      <c r="I81" s="187">
        <f>(H79+H80)/2</f>
        <v>100</v>
      </c>
      <c r="J81" s="184"/>
      <c r="K81" s="183" t="s">
        <v>6</v>
      </c>
      <c r="L81" s="184"/>
      <c r="M81" s="188"/>
      <c r="N81" s="188"/>
      <c r="O81" s="187"/>
      <c r="P81" s="187">
        <f>(O79)/1</f>
        <v>100</v>
      </c>
      <c r="Q81" s="187">
        <f>(I81+P81)/2</f>
        <v>100</v>
      </c>
      <c r="R81" s="191" t="s">
        <v>31</v>
      </c>
      <c r="S81" s="579"/>
      <c r="T81" s="110"/>
      <c r="U81" s="189"/>
    </row>
    <row r="82" spans="1:21" s="111" customFormat="1" ht="84.75" customHeight="1" x14ac:dyDescent="0.35">
      <c r="A82" s="576" t="s">
        <v>78</v>
      </c>
      <c r="B82" s="574" t="s">
        <v>466</v>
      </c>
      <c r="C82" s="500" t="s">
        <v>12</v>
      </c>
      <c r="D82" s="112" t="s">
        <v>87</v>
      </c>
      <c r="E82" s="120"/>
      <c r="F82" s="120"/>
      <c r="G82" s="120"/>
      <c r="H82" s="506"/>
      <c r="I82" s="113"/>
      <c r="J82" s="502" t="s">
        <v>12</v>
      </c>
      <c r="K82" s="112" t="s">
        <v>87</v>
      </c>
      <c r="L82" s="114"/>
      <c r="M82" s="505"/>
      <c r="N82" s="505"/>
      <c r="O82" s="506"/>
      <c r="P82" s="136"/>
      <c r="Q82" s="506"/>
      <c r="R82" s="507"/>
      <c r="S82" s="579" t="s">
        <v>279</v>
      </c>
      <c r="T82" s="110"/>
    </row>
    <row r="83" spans="1:21" s="111" customFormat="1" ht="69.75" x14ac:dyDescent="0.35">
      <c r="A83" s="576"/>
      <c r="B83" s="574"/>
      <c r="C83" s="507" t="s">
        <v>7</v>
      </c>
      <c r="D83" s="510" t="s">
        <v>88</v>
      </c>
      <c r="E83" s="505" t="s">
        <v>25</v>
      </c>
      <c r="F83" s="505">
        <v>95</v>
      </c>
      <c r="G83" s="505">
        <v>95</v>
      </c>
      <c r="H83" s="509">
        <f>IF(G83/F83*100&gt;100,100,G83/F83*100)</f>
        <v>100</v>
      </c>
      <c r="I83" s="114"/>
      <c r="J83" s="114" t="s">
        <v>7</v>
      </c>
      <c r="K83" s="116" t="s">
        <v>316</v>
      </c>
      <c r="L83" s="114" t="s">
        <v>38</v>
      </c>
      <c r="M83" s="505">
        <v>66</v>
      </c>
      <c r="N83" s="505">
        <v>66</v>
      </c>
      <c r="O83" s="509">
        <f>IF(N83/M83*100&gt;110,110,N83/M83*100)</f>
        <v>100</v>
      </c>
      <c r="P83" s="136"/>
      <c r="Q83" s="506"/>
      <c r="R83" s="505"/>
      <c r="S83" s="579"/>
      <c r="T83" s="110"/>
    </row>
    <row r="84" spans="1:21" s="111" customFormat="1" ht="63.75" customHeight="1" x14ac:dyDescent="0.35">
      <c r="A84" s="576"/>
      <c r="B84" s="574"/>
      <c r="C84" s="507"/>
      <c r="D84" s="510"/>
      <c r="E84" s="505"/>
      <c r="F84" s="505"/>
      <c r="G84" s="505"/>
      <c r="H84" s="509"/>
      <c r="I84" s="114"/>
      <c r="J84" s="114" t="s">
        <v>8</v>
      </c>
      <c r="K84" s="116" t="s">
        <v>322</v>
      </c>
      <c r="L84" s="114" t="s">
        <v>38</v>
      </c>
      <c r="M84" s="505">
        <v>7</v>
      </c>
      <c r="N84" s="505">
        <v>7</v>
      </c>
      <c r="O84" s="509">
        <f>IF(N84/M84*100&gt;110,110,N84/M84*100)</f>
        <v>100</v>
      </c>
      <c r="P84" s="136"/>
      <c r="Q84" s="506"/>
      <c r="R84" s="505"/>
      <c r="S84" s="579"/>
      <c r="T84" s="110"/>
    </row>
    <row r="85" spans="1:21" s="111" customFormat="1" ht="69.75" x14ac:dyDescent="0.35">
      <c r="A85" s="576"/>
      <c r="B85" s="574"/>
      <c r="C85" s="507"/>
      <c r="D85" s="510"/>
      <c r="E85" s="505"/>
      <c r="F85" s="505"/>
      <c r="G85" s="505"/>
      <c r="H85" s="509"/>
      <c r="I85" s="114"/>
      <c r="J85" s="114" t="s">
        <v>9</v>
      </c>
      <c r="K85" s="116" t="s">
        <v>312</v>
      </c>
      <c r="L85" s="114" t="s">
        <v>38</v>
      </c>
      <c r="M85" s="505">
        <v>217</v>
      </c>
      <c r="N85" s="505">
        <v>217</v>
      </c>
      <c r="O85" s="509">
        <f>IF(N85/M85*100&gt;110,110,N85/M85*100)</f>
        <v>100</v>
      </c>
      <c r="P85" s="136"/>
      <c r="Q85" s="506"/>
      <c r="R85" s="505"/>
      <c r="S85" s="579"/>
      <c r="T85" s="110"/>
    </row>
    <row r="86" spans="1:21" s="124" customFormat="1" ht="39.75" customHeight="1" x14ac:dyDescent="0.35">
      <c r="A86" s="576"/>
      <c r="B86" s="574"/>
      <c r="C86" s="182"/>
      <c r="D86" s="183" t="s">
        <v>6</v>
      </c>
      <c r="E86" s="184"/>
      <c r="F86" s="185"/>
      <c r="G86" s="186"/>
      <c r="H86" s="187"/>
      <c r="I86" s="187">
        <f>H83</f>
        <v>100</v>
      </c>
      <c r="J86" s="184"/>
      <c r="K86" s="183" t="s">
        <v>6</v>
      </c>
      <c r="L86" s="184"/>
      <c r="M86" s="188"/>
      <c r="N86" s="188"/>
      <c r="O86" s="187"/>
      <c r="P86" s="187">
        <f>(O83+O85)/2</f>
        <v>100</v>
      </c>
      <c r="Q86" s="187">
        <f>(I86+P86)/2</f>
        <v>100</v>
      </c>
      <c r="R86" s="191" t="s">
        <v>31</v>
      </c>
      <c r="S86" s="579"/>
      <c r="T86" s="110"/>
      <c r="U86" s="189"/>
    </row>
    <row r="87" spans="1:21" s="111" customFormat="1" ht="40.5" customHeight="1" x14ac:dyDescent="0.35">
      <c r="A87" s="576"/>
      <c r="B87" s="574"/>
      <c r="C87" s="500" t="s">
        <v>13</v>
      </c>
      <c r="D87" s="112" t="s">
        <v>90</v>
      </c>
      <c r="E87" s="505"/>
      <c r="F87" s="505"/>
      <c r="G87" s="505"/>
      <c r="H87" s="506"/>
      <c r="I87" s="113"/>
      <c r="J87" s="500" t="s">
        <v>13</v>
      </c>
      <c r="K87" s="112" t="s">
        <v>90</v>
      </c>
      <c r="L87" s="114"/>
      <c r="M87" s="138"/>
      <c r="N87" s="138"/>
      <c r="O87" s="506"/>
      <c r="P87" s="136"/>
      <c r="Q87" s="506"/>
      <c r="R87" s="507"/>
      <c r="S87" s="579"/>
      <c r="T87" s="110"/>
    </row>
    <row r="88" spans="1:21" s="111" customFormat="1" ht="69.75" x14ac:dyDescent="0.35">
      <c r="A88" s="576"/>
      <c r="B88" s="574"/>
      <c r="C88" s="507" t="s">
        <v>14</v>
      </c>
      <c r="D88" s="510" t="s">
        <v>88</v>
      </c>
      <c r="E88" s="505" t="s">
        <v>25</v>
      </c>
      <c r="F88" s="505">
        <v>95</v>
      </c>
      <c r="G88" s="505">
        <v>95</v>
      </c>
      <c r="H88" s="509">
        <f>IF(G88/F88*100&gt;100,100,G88/F88*100)</f>
        <v>100</v>
      </c>
      <c r="I88" s="114"/>
      <c r="J88" s="118" t="s">
        <v>14</v>
      </c>
      <c r="K88" s="116" t="s">
        <v>320</v>
      </c>
      <c r="L88" s="114" t="s">
        <v>38</v>
      </c>
      <c r="M88" s="505">
        <v>288</v>
      </c>
      <c r="N88" s="505">
        <v>288</v>
      </c>
      <c r="O88" s="509">
        <f>IF(N88/M88*100&gt;110,110,N88/M88*100)</f>
        <v>100</v>
      </c>
      <c r="P88" s="136"/>
      <c r="Q88" s="506"/>
      <c r="R88" s="505"/>
      <c r="S88" s="579"/>
      <c r="T88" s="110"/>
    </row>
    <row r="89" spans="1:21" s="111" customFormat="1" ht="69.75" x14ac:dyDescent="0.35">
      <c r="A89" s="576"/>
      <c r="B89" s="574"/>
      <c r="C89" s="507" t="s">
        <v>15</v>
      </c>
      <c r="D89" s="510" t="s">
        <v>91</v>
      </c>
      <c r="E89" s="505" t="s">
        <v>92</v>
      </c>
      <c r="F89" s="505">
        <v>35</v>
      </c>
      <c r="G89" s="505">
        <v>21</v>
      </c>
      <c r="H89" s="509">
        <f t="shared" si="0"/>
        <v>100</v>
      </c>
      <c r="I89" s="114"/>
      <c r="J89" s="118" t="s">
        <v>15</v>
      </c>
      <c r="K89" s="116" t="s">
        <v>463</v>
      </c>
      <c r="L89" s="114" t="s">
        <v>38</v>
      </c>
      <c r="M89" s="505">
        <v>2</v>
      </c>
      <c r="N89" s="505">
        <v>2</v>
      </c>
      <c r="O89" s="509">
        <f>IF(N89/M89*100&gt;110,110,N89/M89*100)</f>
        <v>100</v>
      </c>
      <c r="P89" s="136"/>
      <c r="Q89" s="506"/>
      <c r="R89" s="505"/>
      <c r="S89" s="579"/>
      <c r="T89" s="110"/>
    </row>
    <row r="90" spans="1:21" s="124" customFormat="1" ht="56.25" customHeight="1" x14ac:dyDescent="0.35">
      <c r="A90" s="576"/>
      <c r="B90" s="574"/>
      <c r="C90" s="182"/>
      <c r="D90" s="183" t="s">
        <v>6</v>
      </c>
      <c r="E90" s="184"/>
      <c r="F90" s="185"/>
      <c r="G90" s="186"/>
      <c r="H90" s="187"/>
      <c r="I90" s="187">
        <f>(H88+H89)/2</f>
        <v>100</v>
      </c>
      <c r="J90" s="184"/>
      <c r="K90" s="183" t="s">
        <v>6</v>
      </c>
      <c r="L90" s="184"/>
      <c r="M90" s="188"/>
      <c r="N90" s="188"/>
      <c r="O90" s="187"/>
      <c r="P90" s="187">
        <f>(O88+O89)/2</f>
        <v>100</v>
      </c>
      <c r="Q90" s="187">
        <f>(I90+P90)/2</f>
        <v>100</v>
      </c>
      <c r="R90" s="191" t="s">
        <v>31</v>
      </c>
      <c r="S90" s="579"/>
      <c r="T90" s="110"/>
      <c r="U90" s="189"/>
    </row>
    <row r="91" spans="1:21" s="111" customFormat="1" ht="85.5" customHeight="1" x14ac:dyDescent="0.35">
      <c r="A91" s="576" t="s">
        <v>79</v>
      </c>
      <c r="B91" s="574" t="s">
        <v>99</v>
      </c>
      <c r="C91" s="500" t="s">
        <v>12</v>
      </c>
      <c r="D91" s="112" t="s">
        <v>87</v>
      </c>
      <c r="E91" s="120"/>
      <c r="F91" s="120"/>
      <c r="G91" s="120"/>
      <c r="H91" s="506"/>
      <c r="I91" s="113"/>
      <c r="J91" s="502" t="s">
        <v>12</v>
      </c>
      <c r="K91" s="112" t="s">
        <v>87</v>
      </c>
      <c r="L91" s="114"/>
      <c r="M91" s="505"/>
      <c r="N91" s="505"/>
      <c r="O91" s="506"/>
      <c r="P91" s="136"/>
      <c r="Q91" s="506"/>
      <c r="R91" s="507"/>
      <c r="S91" s="579" t="s">
        <v>279</v>
      </c>
      <c r="T91" s="110"/>
    </row>
    <row r="92" spans="1:21" s="111" customFormat="1" ht="69.75" x14ac:dyDescent="0.35">
      <c r="A92" s="576"/>
      <c r="B92" s="574"/>
      <c r="C92" s="507" t="s">
        <v>7</v>
      </c>
      <c r="D92" s="510" t="s">
        <v>88</v>
      </c>
      <c r="E92" s="505" t="s">
        <v>25</v>
      </c>
      <c r="F92" s="505">
        <v>95</v>
      </c>
      <c r="G92" s="505">
        <v>97</v>
      </c>
      <c r="H92" s="509">
        <f>IF(G92/F92*100&gt;100,100,G92/F92*100)</f>
        <v>100</v>
      </c>
      <c r="I92" s="114"/>
      <c r="J92" s="114" t="s">
        <v>7</v>
      </c>
      <c r="K92" s="116" t="s">
        <v>316</v>
      </c>
      <c r="L92" s="114" t="s">
        <v>38</v>
      </c>
      <c r="M92" s="505">
        <v>119</v>
      </c>
      <c r="N92" s="505">
        <v>119</v>
      </c>
      <c r="O92" s="509">
        <f>IF(N92/M92*100&gt;110,110,N92/M92*100)</f>
        <v>100</v>
      </c>
      <c r="P92" s="136"/>
      <c r="Q92" s="506"/>
      <c r="R92" s="505"/>
      <c r="S92" s="579"/>
      <c r="T92" s="110"/>
    </row>
    <row r="93" spans="1:21" s="111" customFormat="1" ht="96" customHeight="1" x14ac:dyDescent="0.35">
      <c r="A93" s="576"/>
      <c r="B93" s="574"/>
      <c r="C93" s="507"/>
      <c r="D93" s="510"/>
      <c r="E93" s="505"/>
      <c r="F93" s="505"/>
      <c r="G93" s="505"/>
      <c r="H93" s="509"/>
      <c r="I93" s="114"/>
      <c r="J93" s="114" t="s">
        <v>8</v>
      </c>
      <c r="K93" s="116" t="s">
        <v>312</v>
      </c>
      <c r="L93" s="114" t="s">
        <v>38</v>
      </c>
      <c r="M93" s="505">
        <v>310</v>
      </c>
      <c r="N93" s="505">
        <v>310</v>
      </c>
      <c r="O93" s="509">
        <f>IF(N93/M93*100&gt;110,110,N93/M93*100)</f>
        <v>100</v>
      </c>
      <c r="P93" s="136"/>
      <c r="Q93" s="506"/>
      <c r="R93" s="505"/>
      <c r="S93" s="579"/>
      <c r="T93" s="110"/>
    </row>
    <row r="94" spans="1:21" s="111" customFormat="1" ht="63.75" customHeight="1" x14ac:dyDescent="0.35">
      <c r="A94" s="576"/>
      <c r="B94" s="574"/>
      <c r="C94" s="507"/>
      <c r="D94" s="510"/>
      <c r="E94" s="505"/>
      <c r="F94" s="505"/>
      <c r="G94" s="505"/>
      <c r="H94" s="509"/>
      <c r="I94" s="114"/>
      <c r="J94" s="114" t="s">
        <v>9</v>
      </c>
      <c r="K94" s="116" t="s">
        <v>322</v>
      </c>
      <c r="L94" s="114" t="s">
        <v>38</v>
      </c>
      <c r="M94" s="505">
        <v>57</v>
      </c>
      <c r="N94" s="505">
        <v>57</v>
      </c>
      <c r="O94" s="509">
        <f>IF(N94/M94*100&gt;110,110,N94/M94*100)</f>
        <v>100</v>
      </c>
      <c r="P94" s="136"/>
      <c r="Q94" s="506"/>
      <c r="R94" s="505"/>
      <c r="S94" s="579"/>
      <c r="T94" s="110"/>
    </row>
    <row r="95" spans="1:21" s="124" customFormat="1" ht="56.25" customHeight="1" x14ac:dyDescent="0.35">
      <c r="A95" s="576"/>
      <c r="B95" s="574"/>
      <c r="C95" s="182"/>
      <c r="D95" s="183" t="s">
        <v>6</v>
      </c>
      <c r="E95" s="184"/>
      <c r="F95" s="185"/>
      <c r="G95" s="186"/>
      <c r="H95" s="187"/>
      <c r="I95" s="187">
        <f>H92</f>
        <v>100</v>
      </c>
      <c r="J95" s="184"/>
      <c r="K95" s="183" t="s">
        <v>6</v>
      </c>
      <c r="L95" s="184"/>
      <c r="M95" s="188"/>
      <c r="N95" s="188"/>
      <c r="O95" s="187"/>
      <c r="P95" s="187">
        <f>(O94+O92+O93)/3</f>
        <v>100</v>
      </c>
      <c r="Q95" s="187">
        <f>(I95+P95)/2</f>
        <v>100</v>
      </c>
      <c r="R95" s="191" t="s">
        <v>31</v>
      </c>
      <c r="S95" s="579"/>
      <c r="T95" s="110"/>
      <c r="U95" s="189"/>
    </row>
    <row r="96" spans="1:21" s="111" customFormat="1" ht="41.25" customHeight="1" x14ac:dyDescent="0.35">
      <c r="A96" s="576"/>
      <c r="B96" s="574"/>
      <c r="C96" s="500" t="s">
        <v>13</v>
      </c>
      <c r="D96" s="112" t="s">
        <v>90</v>
      </c>
      <c r="E96" s="505"/>
      <c r="F96" s="505"/>
      <c r="G96" s="505"/>
      <c r="H96" s="506"/>
      <c r="I96" s="113"/>
      <c r="J96" s="500" t="s">
        <v>13</v>
      </c>
      <c r="K96" s="112" t="s">
        <v>90</v>
      </c>
      <c r="L96" s="114"/>
      <c r="M96" s="138"/>
      <c r="N96" s="138"/>
      <c r="O96" s="506"/>
      <c r="P96" s="136"/>
      <c r="Q96" s="506"/>
      <c r="R96" s="507"/>
      <c r="S96" s="579"/>
      <c r="T96" s="110"/>
    </row>
    <row r="97" spans="1:21" s="111" customFormat="1" ht="69.75" x14ac:dyDescent="0.35">
      <c r="A97" s="576"/>
      <c r="B97" s="574"/>
      <c r="C97" s="507" t="s">
        <v>14</v>
      </c>
      <c r="D97" s="510" t="s">
        <v>88</v>
      </c>
      <c r="E97" s="505" t="s">
        <v>25</v>
      </c>
      <c r="F97" s="505">
        <v>95</v>
      </c>
      <c r="G97" s="505">
        <v>99.1</v>
      </c>
      <c r="H97" s="509">
        <f>IF(G97/F97*100&gt;100,100,G97/F97*100)</f>
        <v>100</v>
      </c>
      <c r="I97" s="114"/>
      <c r="J97" s="118" t="s">
        <v>14</v>
      </c>
      <c r="K97" s="116" t="s">
        <v>325</v>
      </c>
      <c r="L97" s="114" t="s">
        <v>38</v>
      </c>
      <c r="M97" s="505">
        <v>474</v>
      </c>
      <c r="N97" s="505">
        <v>474</v>
      </c>
      <c r="O97" s="509">
        <f>IF(N97/M97*100&gt;110,110,N97/M97*100)</f>
        <v>100</v>
      </c>
      <c r="P97" s="136"/>
      <c r="Q97" s="506"/>
      <c r="R97" s="505"/>
      <c r="S97" s="579"/>
      <c r="T97" s="110"/>
    </row>
    <row r="98" spans="1:21" s="111" customFormat="1" ht="69.75" x14ac:dyDescent="0.35">
      <c r="A98" s="576"/>
      <c r="B98" s="574"/>
      <c r="C98" s="507" t="s">
        <v>15</v>
      </c>
      <c r="D98" s="510" t="s">
        <v>91</v>
      </c>
      <c r="E98" s="505" t="s">
        <v>92</v>
      </c>
      <c r="F98" s="505">
        <v>35</v>
      </c>
      <c r="G98" s="505">
        <v>31.1</v>
      </c>
      <c r="H98" s="509">
        <f t="shared" si="0"/>
        <v>100</v>
      </c>
      <c r="I98" s="114"/>
      <c r="J98" s="118" t="s">
        <v>15</v>
      </c>
      <c r="K98" s="116" t="s">
        <v>463</v>
      </c>
      <c r="L98" s="114" t="s">
        <v>38</v>
      </c>
      <c r="M98" s="505">
        <v>3</v>
      </c>
      <c r="N98" s="505">
        <v>3</v>
      </c>
      <c r="O98" s="509">
        <f>IF(N98/M98*100&gt;110,110,N98/M98*100)</f>
        <v>100</v>
      </c>
      <c r="P98" s="136"/>
      <c r="Q98" s="506"/>
      <c r="R98" s="505"/>
      <c r="S98" s="579"/>
      <c r="T98" s="110"/>
    </row>
    <row r="99" spans="1:21" s="111" customFormat="1" x14ac:dyDescent="0.35">
      <c r="A99" s="576"/>
      <c r="B99" s="574"/>
      <c r="C99" s="507"/>
      <c r="D99" s="510"/>
      <c r="E99" s="505"/>
      <c r="F99" s="505"/>
      <c r="G99" s="505"/>
      <c r="H99" s="509"/>
      <c r="I99" s="114"/>
      <c r="J99" s="118" t="s">
        <v>39</v>
      </c>
      <c r="K99" s="116" t="s">
        <v>313</v>
      </c>
      <c r="L99" s="114" t="s">
        <v>38</v>
      </c>
      <c r="M99" s="505">
        <v>6</v>
      </c>
      <c r="N99" s="505">
        <v>6</v>
      </c>
      <c r="O99" s="509">
        <f>IF(N99/M99*100&gt;110,110,N99/M99*100)</f>
        <v>100</v>
      </c>
      <c r="P99" s="136"/>
      <c r="Q99" s="506"/>
      <c r="R99" s="505"/>
      <c r="S99" s="579"/>
      <c r="T99" s="110"/>
    </row>
    <row r="100" spans="1:21" s="124" customFormat="1" ht="56.25" customHeight="1" x14ac:dyDescent="0.35">
      <c r="A100" s="576"/>
      <c r="B100" s="574"/>
      <c r="C100" s="182"/>
      <c r="D100" s="183" t="s">
        <v>6</v>
      </c>
      <c r="E100" s="184"/>
      <c r="F100" s="185"/>
      <c r="G100" s="186"/>
      <c r="H100" s="187"/>
      <c r="I100" s="187">
        <f>(H97+H98)/2</f>
        <v>100</v>
      </c>
      <c r="J100" s="184"/>
      <c r="K100" s="183" t="s">
        <v>6</v>
      </c>
      <c r="L100" s="184"/>
      <c r="M100" s="188"/>
      <c r="N100" s="188"/>
      <c r="O100" s="187"/>
      <c r="P100" s="187">
        <f>(O99+O97+O98)/3</f>
        <v>100</v>
      </c>
      <c r="Q100" s="187">
        <f>(I100+P100)/2</f>
        <v>100</v>
      </c>
      <c r="R100" s="191" t="s">
        <v>31</v>
      </c>
      <c r="S100" s="579"/>
      <c r="T100" s="110"/>
      <c r="U100" s="189"/>
    </row>
    <row r="101" spans="1:21" s="111" customFormat="1" ht="85.5" customHeight="1" x14ac:dyDescent="0.35">
      <c r="A101" s="576" t="s">
        <v>80</v>
      </c>
      <c r="B101" s="574" t="s">
        <v>100</v>
      </c>
      <c r="C101" s="500" t="s">
        <v>12</v>
      </c>
      <c r="D101" s="112" t="s">
        <v>87</v>
      </c>
      <c r="E101" s="120"/>
      <c r="F101" s="120"/>
      <c r="G101" s="120"/>
      <c r="H101" s="506"/>
      <c r="I101" s="113"/>
      <c r="J101" s="502" t="s">
        <v>12</v>
      </c>
      <c r="K101" s="112" t="s">
        <v>87</v>
      </c>
      <c r="L101" s="114"/>
      <c r="M101" s="505"/>
      <c r="N101" s="505"/>
      <c r="O101" s="506"/>
      <c r="P101" s="136"/>
      <c r="Q101" s="506"/>
      <c r="R101" s="114"/>
      <c r="S101" s="579" t="s">
        <v>279</v>
      </c>
      <c r="T101" s="110"/>
    </row>
    <row r="102" spans="1:21" s="111" customFormat="1" ht="69.75" x14ac:dyDescent="0.35">
      <c r="A102" s="576"/>
      <c r="B102" s="574"/>
      <c r="C102" s="507" t="s">
        <v>7</v>
      </c>
      <c r="D102" s="510" t="s">
        <v>88</v>
      </c>
      <c r="E102" s="505" t="s">
        <v>25</v>
      </c>
      <c r="F102" s="505">
        <v>95</v>
      </c>
      <c r="G102" s="505">
        <v>95</v>
      </c>
      <c r="H102" s="509">
        <f>IF(G102/F102*100&gt;100,100,G102/F102*100)</f>
        <v>100</v>
      </c>
      <c r="I102" s="114"/>
      <c r="J102" s="114" t="s">
        <v>7</v>
      </c>
      <c r="K102" s="116" t="s">
        <v>316</v>
      </c>
      <c r="L102" s="114" t="s">
        <v>38</v>
      </c>
      <c r="M102" s="505">
        <v>60</v>
      </c>
      <c r="N102" s="505">
        <v>60</v>
      </c>
      <c r="O102" s="509">
        <f>IF(N102/M102*100&gt;110,110,N102/M102*100)</f>
        <v>100</v>
      </c>
      <c r="P102" s="136"/>
      <c r="Q102" s="506"/>
      <c r="R102" s="505"/>
      <c r="S102" s="579"/>
      <c r="T102" s="110"/>
    </row>
    <row r="103" spans="1:21" s="111" customFormat="1" ht="69.75" x14ac:dyDescent="0.35">
      <c r="A103" s="576"/>
      <c r="B103" s="574"/>
      <c r="C103" s="507"/>
      <c r="D103" s="510"/>
      <c r="E103" s="505"/>
      <c r="F103" s="505"/>
      <c r="G103" s="505"/>
      <c r="H103" s="509"/>
      <c r="I103" s="114"/>
      <c r="J103" s="114" t="s">
        <v>8</v>
      </c>
      <c r="K103" s="116" t="s">
        <v>312</v>
      </c>
      <c r="L103" s="114" t="s">
        <v>38</v>
      </c>
      <c r="M103" s="505">
        <v>174</v>
      </c>
      <c r="N103" s="505">
        <v>174</v>
      </c>
      <c r="O103" s="509">
        <f>IF(N103/M103*100&gt;110,110,N103/M103*100)</f>
        <v>100</v>
      </c>
      <c r="P103" s="136"/>
      <c r="Q103" s="506"/>
      <c r="R103" s="505"/>
      <c r="S103" s="579"/>
      <c r="T103" s="110"/>
    </row>
    <row r="104" spans="1:21" s="111" customFormat="1" ht="33" customHeight="1" x14ac:dyDescent="0.35">
      <c r="A104" s="576"/>
      <c r="B104" s="574"/>
      <c r="C104" s="507"/>
      <c r="D104" s="510"/>
      <c r="E104" s="505"/>
      <c r="F104" s="505"/>
      <c r="G104" s="505"/>
      <c r="H104" s="509"/>
      <c r="I104" s="114"/>
      <c r="J104" s="114" t="s">
        <v>9</v>
      </c>
      <c r="K104" s="116" t="s">
        <v>322</v>
      </c>
      <c r="L104" s="114" t="s">
        <v>38</v>
      </c>
      <c r="M104" s="505">
        <v>15</v>
      </c>
      <c r="N104" s="505">
        <v>15</v>
      </c>
      <c r="O104" s="509">
        <f>IF(N104/M104*100&gt;110,110,N104/M104*100)</f>
        <v>100</v>
      </c>
      <c r="P104" s="136"/>
      <c r="Q104" s="506"/>
      <c r="R104" s="505"/>
      <c r="S104" s="579"/>
      <c r="T104" s="110"/>
    </row>
    <row r="105" spans="1:21" s="124" customFormat="1" ht="56.25" customHeight="1" x14ac:dyDescent="0.35">
      <c r="A105" s="576"/>
      <c r="B105" s="574"/>
      <c r="C105" s="182"/>
      <c r="D105" s="183" t="s">
        <v>6</v>
      </c>
      <c r="E105" s="184"/>
      <c r="F105" s="185"/>
      <c r="G105" s="186"/>
      <c r="H105" s="187"/>
      <c r="I105" s="187">
        <f>H102</f>
        <v>100</v>
      </c>
      <c r="J105" s="184"/>
      <c r="K105" s="183" t="s">
        <v>6</v>
      </c>
      <c r="L105" s="184"/>
      <c r="M105" s="188"/>
      <c r="N105" s="188"/>
      <c r="O105" s="187"/>
      <c r="P105" s="187">
        <f>(O104+O102+O103)/3</f>
        <v>100</v>
      </c>
      <c r="Q105" s="187">
        <f>(I105+P105)/2</f>
        <v>100</v>
      </c>
      <c r="R105" s="191" t="s">
        <v>31</v>
      </c>
      <c r="S105" s="579"/>
      <c r="T105" s="110"/>
      <c r="U105" s="189"/>
    </row>
    <row r="106" spans="1:21" s="111" customFormat="1" ht="48" customHeight="1" x14ac:dyDescent="0.35">
      <c r="A106" s="576"/>
      <c r="B106" s="574"/>
      <c r="C106" s="500" t="s">
        <v>13</v>
      </c>
      <c r="D106" s="112" t="s">
        <v>90</v>
      </c>
      <c r="E106" s="505"/>
      <c r="F106" s="505"/>
      <c r="G106" s="505"/>
      <c r="H106" s="506"/>
      <c r="I106" s="113"/>
      <c r="J106" s="500" t="s">
        <v>13</v>
      </c>
      <c r="K106" s="112" t="s">
        <v>90</v>
      </c>
      <c r="L106" s="114"/>
      <c r="M106" s="138"/>
      <c r="N106" s="138"/>
      <c r="O106" s="506"/>
      <c r="P106" s="136"/>
      <c r="Q106" s="506"/>
      <c r="R106" s="114"/>
      <c r="S106" s="579"/>
      <c r="T106" s="110"/>
    </row>
    <row r="107" spans="1:21" s="111" customFormat="1" ht="69.75" x14ac:dyDescent="0.35">
      <c r="A107" s="576"/>
      <c r="B107" s="574"/>
      <c r="C107" s="507" t="s">
        <v>14</v>
      </c>
      <c r="D107" s="510" t="s">
        <v>88</v>
      </c>
      <c r="E107" s="505" t="s">
        <v>25</v>
      </c>
      <c r="F107" s="505">
        <v>95</v>
      </c>
      <c r="G107" s="505">
        <v>95</v>
      </c>
      <c r="H107" s="509">
        <f>IF(G107/F107*100&gt;100,100,G107/F107*100)</f>
        <v>100</v>
      </c>
      <c r="I107" s="114"/>
      <c r="J107" s="118" t="s">
        <v>14</v>
      </c>
      <c r="K107" s="116" t="s">
        <v>320</v>
      </c>
      <c r="L107" s="114" t="s">
        <v>38</v>
      </c>
      <c r="M107" s="505">
        <v>247</v>
      </c>
      <c r="N107" s="505">
        <v>247</v>
      </c>
      <c r="O107" s="509">
        <f>IF(N107/M107*100&gt;110,110,N107/M107*100)</f>
        <v>100</v>
      </c>
      <c r="P107" s="136"/>
      <c r="Q107" s="506"/>
      <c r="R107" s="505"/>
      <c r="S107" s="579"/>
      <c r="T107" s="110"/>
    </row>
    <row r="108" spans="1:21" s="111" customFormat="1" ht="69.75" x14ac:dyDescent="0.35">
      <c r="A108" s="576"/>
      <c r="B108" s="574"/>
      <c r="C108" s="507" t="s">
        <v>15</v>
      </c>
      <c r="D108" s="510" t="s">
        <v>91</v>
      </c>
      <c r="E108" s="505" t="s">
        <v>92</v>
      </c>
      <c r="F108" s="505">
        <v>35</v>
      </c>
      <c r="G108" s="505">
        <v>31.24</v>
      </c>
      <c r="H108" s="509">
        <f t="shared" si="0"/>
        <v>100</v>
      </c>
      <c r="I108" s="114"/>
      <c r="J108" s="118" t="s">
        <v>15</v>
      </c>
      <c r="K108" s="116" t="s">
        <v>463</v>
      </c>
      <c r="L108" s="114" t="s">
        <v>38</v>
      </c>
      <c r="M108" s="505">
        <v>1</v>
      </c>
      <c r="N108" s="505">
        <v>1</v>
      </c>
      <c r="O108" s="509">
        <f>IF(N108/M108*100&gt;110,110,N108/M108*100)</f>
        <v>100</v>
      </c>
      <c r="P108" s="136"/>
      <c r="Q108" s="506"/>
      <c r="R108" s="505"/>
      <c r="S108" s="579"/>
      <c r="T108" s="110"/>
    </row>
    <row r="109" spans="1:21" s="111" customFormat="1" x14ac:dyDescent="0.35">
      <c r="A109" s="576"/>
      <c r="B109" s="574"/>
      <c r="C109" s="507"/>
      <c r="D109" s="510"/>
      <c r="E109" s="505"/>
      <c r="F109" s="505"/>
      <c r="G109" s="505"/>
      <c r="H109" s="509"/>
      <c r="I109" s="114"/>
      <c r="J109" s="118" t="s">
        <v>39</v>
      </c>
      <c r="K109" s="116" t="s">
        <v>313</v>
      </c>
      <c r="L109" s="114" t="s">
        <v>38</v>
      </c>
      <c r="M109" s="505">
        <v>1</v>
      </c>
      <c r="N109" s="505">
        <v>1</v>
      </c>
      <c r="O109" s="509">
        <f>IF(N109/M109*100&gt;110,110,N109/M109*100)</f>
        <v>100</v>
      </c>
      <c r="P109" s="136"/>
      <c r="Q109" s="506"/>
      <c r="R109" s="505"/>
      <c r="S109" s="579"/>
      <c r="T109" s="110"/>
    </row>
    <row r="110" spans="1:21" s="124" customFormat="1" ht="56.25" customHeight="1" x14ac:dyDescent="0.35">
      <c r="A110" s="576"/>
      <c r="B110" s="574"/>
      <c r="C110" s="182"/>
      <c r="D110" s="183" t="s">
        <v>6</v>
      </c>
      <c r="E110" s="184"/>
      <c r="F110" s="185"/>
      <c r="G110" s="186"/>
      <c r="H110" s="187"/>
      <c r="I110" s="187">
        <f>(H107+H108)/2</f>
        <v>100</v>
      </c>
      <c r="J110" s="184"/>
      <c r="K110" s="183" t="s">
        <v>6</v>
      </c>
      <c r="L110" s="184"/>
      <c r="M110" s="188"/>
      <c r="N110" s="188"/>
      <c r="O110" s="187"/>
      <c r="P110" s="187">
        <f>(O109+O107+O108)/3</f>
        <v>100</v>
      </c>
      <c r="Q110" s="187">
        <f>(I110+P110)/2</f>
        <v>100</v>
      </c>
      <c r="R110" s="191" t="s">
        <v>31</v>
      </c>
      <c r="S110" s="579"/>
      <c r="T110" s="110"/>
      <c r="U110" s="189"/>
    </row>
    <row r="111" spans="1:21" s="111" customFormat="1" ht="68.25" customHeight="1" x14ac:dyDescent="0.35">
      <c r="A111" s="576"/>
      <c r="B111" s="574"/>
      <c r="C111" s="500" t="s">
        <v>28</v>
      </c>
      <c r="D111" s="112" t="s">
        <v>380</v>
      </c>
      <c r="E111" s="505"/>
      <c r="F111" s="505"/>
      <c r="G111" s="505"/>
      <c r="H111" s="506"/>
      <c r="I111" s="113"/>
      <c r="J111" s="500" t="s">
        <v>28</v>
      </c>
      <c r="K111" s="112" t="str">
        <f>D111</f>
        <v>Предоставление консультационных и методических услуг</v>
      </c>
      <c r="L111" s="114"/>
      <c r="M111" s="140"/>
      <c r="N111" s="140"/>
      <c r="O111" s="506"/>
      <c r="P111" s="136"/>
      <c r="Q111" s="506"/>
      <c r="R111" s="507"/>
      <c r="S111" s="579"/>
      <c r="T111" s="110"/>
    </row>
    <row r="112" spans="1:21" s="111" customFormat="1" ht="69.75" x14ac:dyDescent="0.35">
      <c r="A112" s="576"/>
      <c r="B112" s="574"/>
      <c r="C112" s="507" t="s">
        <v>29</v>
      </c>
      <c r="D112" s="510" t="s">
        <v>314</v>
      </c>
      <c r="E112" s="505" t="s">
        <v>318</v>
      </c>
      <c r="F112" s="505">
        <v>50</v>
      </c>
      <c r="G112" s="505">
        <v>50</v>
      </c>
      <c r="H112" s="509">
        <f>IF(G112/F112*100&gt;100,100,G112/F112*100)</f>
        <v>100</v>
      </c>
      <c r="I112" s="114"/>
      <c r="J112" s="118" t="s">
        <v>29</v>
      </c>
      <c r="K112" s="116" t="s">
        <v>93</v>
      </c>
      <c r="L112" s="114" t="s">
        <v>36</v>
      </c>
      <c r="M112" s="505">
        <v>100</v>
      </c>
      <c r="N112" s="140">
        <v>100</v>
      </c>
      <c r="O112" s="509">
        <f>IF(N112/M112*100&gt;110,110,N112/M112*100)</f>
        <v>100</v>
      </c>
      <c r="P112" s="136"/>
      <c r="Q112" s="506"/>
      <c r="R112" s="505"/>
      <c r="S112" s="579"/>
      <c r="T112" s="110"/>
    </row>
    <row r="113" spans="1:21" s="124" customFormat="1" ht="55.5" customHeight="1" x14ac:dyDescent="0.35">
      <c r="A113" s="576"/>
      <c r="B113" s="574"/>
      <c r="C113" s="191"/>
      <c r="D113" s="183" t="s">
        <v>6</v>
      </c>
      <c r="E113" s="191"/>
      <c r="F113" s="184"/>
      <c r="G113" s="184"/>
      <c r="H113" s="187"/>
      <c r="I113" s="187">
        <f>H112</f>
        <v>100</v>
      </c>
      <c r="J113" s="182"/>
      <c r="K113" s="183" t="s">
        <v>6</v>
      </c>
      <c r="L113" s="184"/>
      <c r="M113" s="188"/>
      <c r="N113" s="188"/>
      <c r="O113" s="187"/>
      <c r="P113" s="187">
        <f>O112</f>
        <v>100</v>
      </c>
      <c r="Q113" s="187">
        <f>(I113+P113)/2</f>
        <v>100</v>
      </c>
      <c r="R113" s="191" t="s">
        <v>31</v>
      </c>
      <c r="S113" s="579"/>
      <c r="T113" s="110"/>
    </row>
    <row r="114" spans="1:21" s="111" customFormat="1" ht="80.25" customHeight="1" x14ac:dyDescent="0.35">
      <c r="A114" s="576" t="s">
        <v>81</v>
      </c>
      <c r="B114" s="574" t="s">
        <v>101</v>
      </c>
      <c r="C114" s="500" t="s">
        <v>12</v>
      </c>
      <c r="D114" s="112" t="s">
        <v>87</v>
      </c>
      <c r="E114" s="120"/>
      <c r="F114" s="120"/>
      <c r="G114" s="120"/>
      <c r="H114" s="506"/>
      <c r="I114" s="113"/>
      <c r="J114" s="502" t="s">
        <v>12</v>
      </c>
      <c r="K114" s="112" t="s">
        <v>87</v>
      </c>
      <c r="L114" s="114"/>
      <c r="M114" s="505"/>
      <c r="N114" s="505"/>
      <c r="O114" s="506"/>
      <c r="P114" s="136"/>
      <c r="Q114" s="506"/>
      <c r="R114" s="507"/>
      <c r="S114" s="579" t="s">
        <v>279</v>
      </c>
      <c r="T114" s="110"/>
    </row>
    <row r="115" spans="1:21" s="111" customFormat="1" ht="69.75" x14ac:dyDescent="0.35">
      <c r="A115" s="576"/>
      <c r="B115" s="574"/>
      <c r="C115" s="507" t="s">
        <v>7</v>
      </c>
      <c r="D115" s="510" t="s">
        <v>88</v>
      </c>
      <c r="E115" s="505" t="s">
        <v>25</v>
      </c>
      <c r="F115" s="505">
        <v>95</v>
      </c>
      <c r="G115" s="505">
        <v>100</v>
      </c>
      <c r="H115" s="509">
        <f>IF(G115/F115*100&gt;100,100,G115/F115*100)</f>
        <v>100</v>
      </c>
      <c r="I115" s="114"/>
      <c r="J115" s="114" t="s">
        <v>7</v>
      </c>
      <c r="K115" s="116" t="s">
        <v>316</v>
      </c>
      <c r="L115" s="114" t="s">
        <v>38</v>
      </c>
      <c r="M115" s="505">
        <v>79</v>
      </c>
      <c r="N115" s="505">
        <v>79</v>
      </c>
      <c r="O115" s="509">
        <f>IF(N115/M115*100&gt;110,110,N115/M115*100)</f>
        <v>100</v>
      </c>
      <c r="P115" s="136"/>
      <c r="Q115" s="506"/>
      <c r="R115" s="505"/>
      <c r="S115" s="579"/>
      <c r="T115" s="110"/>
    </row>
    <row r="116" spans="1:21" s="111" customFormat="1" ht="69.75" x14ac:dyDescent="0.35">
      <c r="A116" s="576"/>
      <c r="B116" s="574"/>
      <c r="C116" s="507"/>
      <c r="D116" s="510"/>
      <c r="E116" s="505"/>
      <c r="F116" s="505"/>
      <c r="G116" s="505"/>
      <c r="H116" s="509"/>
      <c r="I116" s="114"/>
      <c r="J116" s="114" t="s">
        <v>8</v>
      </c>
      <c r="K116" s="116" t="s">
        <v>312</v>
      </c>
      <c r="L116" s="114" t="s">
        <v>38</v>
      </c>
      <c r="M116" s="505">
        <v>159</v>
      </c>
      <c r="N116" s="505">
        <v>159</v>
      </c>
      <c r="O116" s="509">
        <v>100</v>
      </c>
      <c r="P116" s="136"/>
      <c r="Q116" s="506"/>
      <c r="R116" s="505"/>
      <c r="S116" s="579"/>
      <c r="T116" s="110"/>
    </row>
    <row r="117" spans="1:21" s="111" customFormat="1" ht="34.5" customHeight="1" x14ac:dyDescent="0.35">
      <c r="A117" s="576"/>
      <c r="B117" s="574"/>
      <c r="C117" s="507"/>
      <c r="D117" s="510"/>
      <c r="E117" s="505"/>
      <c r="F117" s="505"/>
      <c r="G117" s="505"/>
      <c r="H117" s="509"/>
      <c r="I117" s="114"/>
      <c r="J117" s="114" t="s">
        <v>9</v>
      </c>
      <c r="K117" s="116" t="s">
        <v>322</v>
      </c>
      <c r="L117" s="114" t="s">
        <v>38</v>
      </c>
      <c r="M117" s="505">
        <v>26</v>
      </c>
      <c r="N117" s="505">
        <v>26</v>
      </c>
      <c r="O117" s="509">
        <f>IF(N117/M117*100&gt;110,110,N117/M117*100)</f>
        <v>100</v>
      </c>
      <c r="P117" s="127"/>
      <c r="Q117" s="506"/>
      <c r="R117" s="505"/>
      <c r="S117" s="579"/>
      <c r="T117" s="110"/>
    </row>
    <row r="118" spans="1:21" s="124" customFormat="1" ht="39.75" customHeight="1" x14ac:dyDescent="0.35">
      <c r="A118" s="576"/>
      <c r="B118" s="574"/>
      <c r="C118" s="182"/>
      <c r="D118" s="183" t="s">
        <v>6</v>
      </c>
      <c r="E118" s="184"/>
      <c r="F118" s="185"/>
      <c r="G118" s="186"/>
      <c r="H118" s="187"/>
      <c r="I118" s="187">
        <f>H115</f>
        <v>100</v>
      </c>
      <c r="J118" s="184"/>
      <c r="K118" s="183" t="s">
        <v>6</v>
      </c>
      <c r="L118" s="184"/>
      <c r="M118" s="188"/>
      <c r="N118" s="188"/>
      <c r="O118" s="187"/>
      <c r="P118" s="187">
        <f>(O115+O116+O117)/3</f>
        <v>100</v>
      </c>
      <c r="Q118" s="187">
        <f>(I118+P118)/2</f>
        <v>100</v>
      </c>
      <c r="R118" s="191" t="s">
        <v>31</v>
      </c>
      <c r="S118" s="579"/>
      <c r="T118" s="110"/>
      <c r="U118" s="189"/>
    </row>
    <row r="119" spans="1:21" s="111" customFormat="1" ht="42" customHeight="1" x14ac:dyDescent="0.35">
      <c r="A119" s="576"/>
      <c r="B119" s="574"/>
      <c r="C119" s="500" t="s">
        <v>13</v>
      </c>
      <c r="D119" s="112" t="s">
        <v>90</v>
      </c>
      <c r="E119" s="505"/>
      <c r="F119" s="505"/>
      <c r="G119" s="505"/>
      <c r="H119" s="506"/>
      <c r="I119" s="113"/>
      <c r="J119" s="500" t="s">
        <v>13</v>
      </c>
      <c r="K119" s="112" t="s">
        <v>90</v>
      </c>
      <c r="L119" s="114"/>
      <c r="M119" s="138"/>
      <c r="N119" s="138"/>
      <c r="O119" s="506"/>
      <c r="P119" s="136"/>
      <c r="Q119" s="506"/>
      <c r="R119" s="507"/>
      <c r="S119" s="579"/>
      <c r="T119" s="110"/>
    </row>
    <row r="120" spans="1:21" s="111" customFormat="1" ht="69.75" x14ac:dyDescent="0.35">
      <c r="A120" s="576"/>
      <c r="B120" s="574"/>
      <c r="C120" s="507" t="s">
        <v>14</v>
      </c>
      <c r="D120" s="510" t="s">
        <v>88</v>
      </c>
      <c r="E120" s="505" t="s">
        <v>25</v>
      </c>
      <c r="F120" s="505">
        <v>95</v>
      </c>
      <c r="G120" s="505">
        <v>100</v>
      </c>
      <c r="H120" s="509">
        <f>IF(G120/F120*100&gt;100,100,G120/F120*100)</f>
        <v>100</v>
      </c>
      <c r="I120" s="114"/>
      <c r="J120" s="594" t="s">
        <v>14</v>
      </c>
      <c r="K120" s="596" t="s">
        <v>325</v>
      </c>
      <c r="L120" s="596" t="s">
        <v>38</v>
      </c>
      <c r="M120" s="592">
        <v>278</v>
      </c>
      <c r="N120" s="592">
        <v>278</v>
      </c>
      <c r="O120" s="586">
        <f>IF(N120/M120*100&gt;110,110,N120/M120*100)</f>
        <v>100</v>
      </c>
      <c r="P120" s="588"/>
      <c r="Q120" s="590"/>
      <c r="R120" s="592"/>
      <c r="S120" s="579"/>
      <c r="T120" s="110"/>
    </row>
    <row r="121" spans="1:21" s="111" customFormat="1" ht="62.25" customHeight="1" x14ac:dyDescent="0.35">
      <c r="A121" s="576"/>
      <c r="B121" s="574"/>
      <c r="C121" s="507" t="s">
        <v>15</v>
      </c>
      <c r="D121" s="510" t="s">
        <v>91</v>
      </c>
      <c r="E121" s="505" t="s">
        <v>92</v>
      </c>
      <c r="F121" s="505">
        <v>35</v>
      </c>
      <c r="G121" s="505">
        <v>34.4</v>
      </c>
      <c r="H121" s="509">
        <f t="shared" si="0"/>
        <v>100</v>
      </c>
      <c r="I121" s="114"/>
      <c r="J121" s="595"/>
      <c r="K121" s="597"/>
      <c r="L121" s="597"/>
      <c r="M121" s="593"/>
      <c r="N121" s="593"/>
      <c r="O121" s="587"/>
      <c r="P121" s="589"/>
      <c r="Q121" s="591"/>
      <c r="R121" s="593"/>
      <c r="S121" s="579"/>
      <c r="T121" s="110"/>
    </row>
    <row r="122" spans="1:21" s="111" customFormat="1" x14ac:dyDescent="0.35">
      <c r="A122" s="576"/>
      <c r="B122" s="574"/>
      <c r="C122" s="507"/>
      <c r="D122" s="510"/>
      <c r="E122" s="505"/>
      <c r="F122" s="505"/>
      <c r="G122" s="505"/>
      <c r="H122" s="509"/>
      <c r="I122" s="114"/>
      <c r="J122" s="118" t="s">
        <v>15</v>
      </c>
      <c r="K122" s="116" t="s">
        <v>313</v>
      </c>
      <c r="L122" s="114" t="s">
        <v>38</v>
      </c>
      <c r="M122" s="505">
        <v>1</v>
      </c>
      <c r="N122" s="505">
        <v>1</v>
      </c>
      <c r="O122" s="509">
        <f>IF(N122/M122*100&gt;110,110,N122/M122*100)</f>
        <v>100</v>
      </c>
      <c r="P122" s="136"/>
      <c r="Q122" s="506"/>
      <c r="R122" s="505"/>
      <c r="S122" s="579"/>
      <c r="T122" s="110"/>
    </row>
    <row r="123" spans="1:21" s="124" customFormat="1" ht="56.25" customHeight="1" x14ac:dyDescent="0.35">
      <c r="A123" s="576"/>
      <c r="B123" s="574"/>
      <c r="C123" s="182"/>
      <c r="D123" s="183" t="s">
        <v>6</v>
      </c>
      <c r="E123" s="184"/>
      <c r="F123" s="185"/>
      <c r="G123" s="186"/>
      <c r="H123" s="187"/>
      <c r="I123" s="187">
        <f>(H120+H121)/2</f>
        <v>100</v>
      </c>
      <c r="J123" s="184"/>
      <c r="K123" s="183" t="s">
        <v>6</v>
      </c>
      <c r="L123" s="184"/>
      <c r="M123" s="188"/>
      <c r="N123" s="188"/>
      <c r="O123" s="187"/>
      <c r="P123" s="187">
        <f>(O122+O120+O121)/2</f>
        <v>100</v>
      </c>
      <c r="Q123" s="187">
        <f>(I123+P123)/2</f>
        <v>100</v>
      </c>
      <c r="R123" s="191" t="s">
        <v>31</v>
      </c>
      <c r="S123" s="579"/>
      <c r="T123" s="110"/>
      <c r="U123" s="189"/>
    </row>
    <row r="124" spans="1:21" s="126" customFormat="1" ht="94.5" customHeight="1" x14ac:dyDescent="0.35">
      <c r="A124" s="576">
        <v>11</v>
      </c>
      <c r="B124" s="600" t="s">
        <v>102</v>
      </c>
      <c r="C124" s="500" t="s">
        <v>12</v>
      </c>
      <c r="D124" s="112" t="s">
        <v>87</v>
      </c>
      <c r="E124" s="120"/>
      <c r="F124" s="120"/>
      <c r="G124" s="120"/>
      <c r="H124" s="506"/>
      <c r="I124" s="113"/>
      <c r="J124" s="502" t="s">
        <v>12</v>
      </c>
      <c r="K124" s="112" t="s">
        <v>87</v>
      </c>
      <c r="L124" s="114"/>
      <c r="M124" s="505"/>
      <c r="N124" s="505"/>
      <c r="O124" s="506"/>
      <c r="P124" s="136"/>
      <c r="Q124" s="506"/>
      <c r="R124" s="114"/>
      <c r="S124" s="579" t="s">
        <v>279</v>
      </c>
      <c r="T124" s="110"/>
    </row>
    <row r="125" spans="1:21" s="126" customFormat="1" ht="69.75" x14ac:dyDescent="0.35">
      <c r="A125" s="576"/>
      <c r="B125" s="600"/>
      <c r="C125" s="507" t="s">
        <v>7</v>
      </c>
      <c r="D125" s="510" t="s">
        <v>88</v>
      </c>
      <c r="E125" s="505" t="s">
        <v>25</v>
      </c>
      <c r="F125" s="505">
        <v>95</v>
      </c>
      <c r="G125" s="505">
        <v>97</v>
      </c>
      <c r="H125" s="509">
        <f>IF(G125/F125*100&gt;100,100,G125/F125*100)</f>
        <v>100</v>
      </c>
      <c r="I125" s="114"/>
      <c r="J125" s="114" t="s">
        <v>7</v>
      </c>
      <c r="K125" s="116" t="s">
        <v>316</v>
      </c>
      <c r="L125" s="114" t="s">
        <v>38</v>
      </c>
      <c r="M125" s="505">
        <v>43</v>
      </c>
      <c r="N125" s="505">
        <v>43</v>
      </c>
      <c r="O125" s="509">
        <f>IF(N125/M125*100&gt;110,110,N125/M125*100)</f>
        <v>100</v>
      </c>
      <c r="P125" s="136"/>
      <c r="Q125" s="506"/>
      <c r="R125" s="505"/>
      <c r="S125" s="579"/>
      <c r="T125" s="110"/>
    </row>
    <row r="126" spans="1:21" s="126" customFormat="1" ht="69.75" x14ac:dyDescent="0.35">
      <c r="A126" s="576"/>
      <c r="B126" s="600"/>
      <c r="C126" s="507"/>
      <c r="D126" s="510"/>
      <c r="E126" s="505"/>
      <c r="F126" s="505"/>
      <c r="G126" s="505"/>
      <c r="H126" s="509"/>
      <c r="I126" s="114"/>
      <c r="J126" s="114" t="s">
        <v>8</v>
      </c>
      <c r="K126" s="116" t="s">
        <v>312</v>
      </c>
      <c r="L126" s="114" t="s">
        <v>38</v>
      </c>
      <c r="M126" s="505">
        <v>202</v>
      </c>
      <c r="N126" s="505">
        <v>202</v>
      </c>
      <c r="O126" s="509">
        <f>IF(N126/M126*100&gt;110,110,N126/M126*100)</f>
        <v>100</v>
      </c>
      <c r="P126" s="136"/>
      <c r="Q126" s="506"/>
      <c r="R126" s="505"/>
      <c r="S126" s="579"/>
      <c r="T126" s="110"/>
    </row>
    <row r="127" spans="1:21" s="126" customFormat="1" ht="33" customHeight="1" x14ac:dyDescent="0.35">
      <c r="A127" s="576"/>
      <c r="B127" s="600"/>
      <c r="C127" s="507"/>
      <c r="D127" s="510"/>
      <c r="E127" s="505"/>
      <c r="F127" s="505"/>
      <c r="G127" s="505"/>
      <c r="H127" s="509"/>
      <c r="I127" s="114"/>
      <c r="J127" s="114" t="s">
        <v>9</v>
      </c>
      <c r="K127" s="116" t="s">
        <v>322</v>
      </c>
      <c r="L127" s="114" t="s">
        <v>38</v>
      </c>
      <c r="M127" s="505">
        <v>28</v>
      </c>
      <c r="N127" s="505">
        <v>28</v>
      </c>
      <c r="O127" s="509">
        <f>IF(N127/M127*100&gt;110,110,N127/M127*100)</f>
        <v>100</v>
      </c>
      <c r="P127" s="136"/>
      <c r="Q127" s="506"/>
      <c r="R127" s="505"/>
      <c r="S127" s="579"/>
      <c r="T127" s="110"/>
    </row>
    <row r="128" spans="1:21" s="124" customFormat="1" ht="39.75" customHeight="1" x14ac:dyDescent="0.35">
      <c r="A128" s="576"/>
      <c r="B128" s="600"/>
      <c r="C128" s="182"/>
      <c r="D128" s="183" t="s">
        <v>6</v>
      </c>
      <c r="E128" s="184"/>
      <c r="F128" s="185"/>
      <c r="G128" s="186"/>
      <c r="H128" s="187"/>
      <c r="I128" s="187">
        <f>H125</f>
        <v>100</v>
      </c>
      <c r="J128" s="184"/>
      <c r="K128" s="183" t="s">
        <v>6</v>
      </c>
      <c r="L128" s="184"/>
      <c r="M128" s="188"/>
      <c r="N128" s="188"/>
      <c r="O128" s="187"/>
      <c r="P128" s="187">
        <f>(O127+O125+O126)/3</f>
        <v>100</v>
      </c>
      <c r="Q128" s="187">
        <f>(I128+P128)/2</f>
        <v>100</v>
      </c>
      <c r="R128" s="191" t="s">
        <v>31</v>
      </c>
      <c r="S128" s="579"/>
      <c r="T128" s="110"/>
      <c r="U128" s="189"/>
    </row>
    <row r="129" spans="1:21" s="126" customFormat="1" x14ac:dyDescent="0.35">
      <c r="A129" s="576"/>
      <c r="B129" s="600"/>
      <c r="C129" s="500" t="s">
        <v>13</v>
      </c>
      <c r="D129" s="112" t="s">
        <v>90</v>
      </c>
      <c r="E129" s="505"/>
      <c r="F129" s="505"/>
      <c r="G129" s="505"/>
      <c r="H129" s="506"/>
      <c r="I129" s="113"/>
      <c r="J129" s="500" t="s">
        <v>13</v>
      </c>
      <c r="K129" s="112" t="s">
        <v>90</v>
      </c>
      <c r="L129" s="114"/>
      <c r="M129" s="138"/>
      <c r="N129" s="138"/>
      <c r="O129" s="506"/>
      <c r="P129" s="136"/>
      <c r="Q129" s="506"/>
      <c r="R129" s="507"/>
      <c r="S129" s="579"/>
      <c r="T129" s="110"/>
    </row>
    <row r="130" spans="1:21" s="126" customFormat="1" ht="69.75" x14ac:dyDescent="0.35">
      <c r="A130" s="576"/>
      <c r="B130" s="600"/>
      <c r="C130" s="507" t="s">
        <v>14</v>
      </c>
      <c r="D130" s="510" t="s">
        <v>88</v>
      </c>
      <c r="E130" s="505" t="s">
        <v>25</v>
      </c>
      <c r="F130" s="505">
        <v>95</v>
      </c>
      <c r="G130" s="505">
        <v>95</v>
      </c>
      <c r="H130" s="509">
        <f>IF(G130/F130*100&gt;100,100,G130/F130*100)</f>
        <v>100</v>
      </c>
      <c r="I130" s="114"/>
      <c r="J130" s="118" t="s">
        <v>14</v>
      </c>
      <c r="K130" s="116" t="s">
        <v>325</v>
      </c>
      <c r="L130" s="114" t="s">
        <v>38</v>
      </c>
      <c r="M130" s="505">
        <v>269</v>
      </c>
      <c r="N130" s="505">
        <v>269</v>
      </c>
      <c r="O130" s="509">
        <f>IF(N130/M130*100&gt;110,110,N130/M130*100)</f>
        <v>100</v>
      </c>
      <c r="P130" s="136"/>
      <c r="Q130" s="506"/>
      <c r="R130" s="505"/>
      <c r="S130" s="579"/>
      <c r="T130" s="110"/>
    </row>
    <row r="131" spans="1:21" s="126" customFormat="1" ht="69.75" x14ac:dyDescent="0.35">
      <c r="A131" s="576"/>
      <c r="B131" s="600"/>
      <c r="C131" s="507" t="s">
        <v>15</v>
      </c>
      <c r="D131" s="510" t="s">
        <v>91</v>
      </c>
      <c r="E131" s="505" t="s">
        <v>92</v>
      </c>
      <c r="F131" s="505">
        <v>35</v>
      </c>
      <c r="G131" s="505">
        <v>30.3</v>
      </c>
      <c r="H131" s="509">
        <f t="shared" ref="H131:H190" si="1">IF(F131/G131*100&gt;100,100,F131/G131*100)</f>
        <v>100</v>
      </c>
      <c r="I131" s="114"/>
      <c r="J131" s="118" t="s">
        <v>15</v>
      </c>
      <c r="K131" s="116" t="s">
        <v>463</v>
      </c>
      <c r="L131" s="114" t="s">
        <v>38</v>
      </c>
      <c r="M131" s="505">
        <v>2</v>
      </c>
      <c r="N131" s="505">
        <v>2</v>
      </c>
      <c r="O131" s="509">
        <f>IF(N131/M131*100&gt;110,110,N131/M131*100)</f>
        <v>100</v>
      </c>
      <c r="P131" s="136"/>
      <c r="Q131" s="506"/>
      <c r="R131" s="505"/>
      <c r="S131" s="579"/>
      <c r="T131" s="110"/>
    </row>
    <row r="132" spans="1:21" s="126" customFormat="1" x14ac:dyDescent="0.35">
      <c r="A132" s="576"/>
      <c r="B132" s="600"/>
      <c r="C132" s="507"/>
      <c r="D132" s="510"/>
      <c r="E132" s="505"/>
      <c r="F132" s="505"/>
      <c r="G132" s="505"/>
      <c r="H132" s="509"/>
      <c r="I132" s="114"/>
      <c r="J132" s="118" t="s">
        <v>39</v>
      </c>
      <c r="K132" s="116" t="s">
        <v>313</v>
      </c>
      <c r="L132" s="114" t="s">
        <v>38</v>
      </c>
      <c r="M132" s="505">
        <v>2</v>
      </c>
      <c r="N132" s="505">
        <v>2</v>
      </c>
      <c r="O132" s="509">
        <f>IF(N132/M132*100&gt;110,110,N132/M132*100)</f>
        <v>100</v>
      </c>
      <c r="P132" s="136"/>
      <c r="Q132" s="506"/>
      <c r="R132" s="505"/>
      <c r="S132" s="579"/>
      <c r="T132" s="110"/>
    </row>
    <row r="133" spans="1:21" s="124" customFormat="1" ht="56.25" customHeight="1" x14ac:dyDescent="0.35">
      <c r="A133" s="576"/>
      <c r="B133" s="600"/>
      <c r="C133" s="182"/>
      <c r="D133" s="183" t="s">
        <v>6</v>
      </c>
      <c r="E133" s="184"/>
      <c r="F133" s="185"/>
      <c r="G133" s="186"/>
      <c r="H133" s="187"/>
      <c r="I133" s="187">
        <f>(H130+H131)/2</f>
        <v>100</v>
      </c>
      <c r="J133" s="184"/>
      <c r="K133" s="183" t="s">
        <v>6</v>
      </c>
      <c r="L133" s="184"/>
      <c r="M133" s="188"/>
      <c r="N133" s="188"/>
      <c r="O133" s="187"/>
      <c r="P133" s="187">
        <f>(O132+O130+O131)/3</f>
        <v>100</v>
      </c>
      <c r="Q133" s="187">
        <f>(I133+P133)/2</f>
        <v>100</v>
      </c>
      <c r="R133" s="191" t="s">
        <v>31</v>
      </c>
      <c r="S133" s="579"/>
      <c r="T133" s="110"/>
      <c r="U133" s="189"/>
    </row>
    <row r="134" spans="1:21" s="126" customFormat="1" ht="90" customHeight="1" x14ac:dyDescent="0.35">
      <c r="A134" s="576">
        <v>12</v>
      </c>
      <c r="B134" s="600" t="s">
        <v>103</v>
      </c>
      <c r="C134" s="500" t="s">
        <v>12</v>
      </c>
      <c r="D134" s="112" t="s">
        <v>87</v>
      </c>
      <c r="E134" s="120"/>
      <c r="F134" s="120"/>
      <c r="G134" s="120"/>
      <c r="H134" s="506"/>
      <c r="I134" s="113"/>
      <c r="J134" s="502" t="s">
        <v>12</v>
      </c>
      <c r="K134" s="112" t="s">
        <v>87</v>
      </c>
      <c r="L134" s="114"/>
      <c r="M134" s="505"/>
      <c r="N134" s="505"/>
      <c r="O134" s="506"/>
      <c r="P134" s="136"/>
      <c r="Q134" s="506"/>
      <c r="R134" s="114"/>
      <c r="S134" s="579" t="s">
        <v>279</v>
      </c>
      <c r="T134" s="110"/>
    </row>
    <row r="135" spans="1:21" s="126" customFormat="1" ht="69.75" x14ac:dyDescent="0.35">
      <c r="A135" s="576"/>
      <c r="B135" s="600"/>
      <c r="C135" s="507" t="s">
        <v>7</v>
      </c>
      <c r="D135" s="510" t="s">
        <v>88</v>
      </c>
      <c r="E135" s="505" t="s">
        <v>25</v>
      </c>
      <c r="F135" s="505">
        <v>95</v>
      </c>
      <c r="G135" s="505">
        <v>98</v>
      </c>
      <c r="H135" s="509">
        <f>IF(G135/F135*100&gt;100,100,G135/F135*100)</f>
        <v>100</v>
      </c>
      <c r="I135" s="114"/>
      <c r="J135" s="114" t="s">
        <v>7</v>
      </c>
      <c r="K135" s="116" t="s">
        <v>316</v>
      </c>
      <c r="L135" s="114" t="s">
        <v>38</v>
      </c>
      <c r="M135" s="505">
        <v>75</v>
      </c>
      <c r="N135" s="505">
        <v>75</v>
      </c>
      <c r="O135" s="509">
        <f>IF(N135/M135*100&gt;110,110,N135/M135*100)</f>
        <v>100</v>
      </c>
      <c r="P135" s="136"/>
      <c r="Q135" s="506"/>
      <c r="R135" s="505"/>
      <c r="S135" s="579"/>
      <c r="T135" s="110"/>
    </row>
    <row r="136" spans="1:21" s="126" customFormat="1" ht="69.75" x14ac:dyDescent="0.35">
      <c r="A136" s="576"/>
      <c r="B136" s="600"/>
      <c r="C136" s="507"/>
      <c r="D136" s="510"/>
      <c r="E136" s="505"/>
      <c r="F136" s="505"/>
      <c r="G136" s="505"/>
      <c r="H136" s="509"/>
      <c r="I136" s="114"/>
      <c r="J136" s="114" t="s">
        <v>8</v>
      </c>
      <c r="K136" s="116" t="s">
        <v>312</v>
      </c>
      <c r="L136" s="114" t="s">
        <v>38</v>
      </c>
      <c r="M136" s="505">
        <v>171</v>
      </c>
      <c r="N136" s="505">
        <v>171</v>
      </c>
      <c r="O136" s="509">
        <f>IF(N136/M136*100&gt;110,110,N136/M136*100)</f>
        <v>100</v>
      </c>
      <c r="P136" s="136"/>
      <c r="Q136" s="506"/>
      <c r="R136" s="505"/>
      <c r="S136" s="579"/>
      <c r="T136" s="110"/>
    </row>
    <row r="137" spans="1:21" s="126" customFormat="1" ht="38.25" customHeight="1" x14ac:dyDescent="0.35">
      <c r="A137" s="576"/>
      <c r="B137" s="600"/>
      <c r="C137" s="507"/>
      <c r="D137" s="510"/>
      <c r="E137" s="505"/>
      <c r="F137" s="505"/>
      <c r="G137" s="505"/>
      <c r="H137" s="509"/>
      <c r="I137" s="114"/>
      <c r="J137" s="114" t="s">
        <v>9</v>
      </c>
      <c r="K137" s="116" t="s">
        <v>322</v>
      </c>
      <c r="L137" s="114" t="s">
        <v>38</v>
      </c>
      <c r="M137" s="505">
        <v>21</v>
      </c>
      <c r="N137" s="505">
        <v>21</v>
      </c>
      <c r="O137" s="509">
        <f>IF(N137/M137*100&gt;110,110,N137/M137*100)</f>
        <v>100</v>
      </c>
      <c r="P137" s="136"/>
      <c r="Q137" s="506"/>
      <c r="R137" s="505"/>
      <c r="S137" s="579"/>
      <c r="T137" s="110"/>
    </row>
    <row r="138" spans="1:21" s="124" customFormat="1" ht="39.75" customHeight="1" x14ac:dyDescent="0.35">
      <c r="A138" s="576"/>
      <c r="B138" s="600"/>
      <c r="C138" s="182"/>
      <c r="D138" s="183" t="s">
        <v>6</v>
      </c>
      <c r="E138" s="184"/>
      <c r="F138" s="185"/>
      <c r="G138" s="186"/>
      <c r="H138" s="187"/>
      <c r="I138" s="187">
        <f>H135</f>
        <v>100</v>
      </c>
      <c r="J138" s="184"/>
      <c r="K138" s="183" t="s">
        <v>6</v>
      </c>
      <c r="L138" s="184"/>
      <c r="M138" s="188"/>
      <c r="N138" s="188"/>
      <c r="O138" s="187"/>
      <c r="P138" s="187">
        <f>(O137+O135+O136)/3</f>
        <v>100</v>
      </c>
      <c r="Q138" s="187">
        <f>(I138+P138)/2</f>
        <v>100</v>
      </c>
      <c r="R138" s="191" t="s">
        <v>31</v>
      </c>
      <c r="S138" s="579"/>
      <c r="T138" s="110"/>
      <c r="U138" s="189"/>
    </row>
    <row r="139" spans="1:21" s="126" customFormat="1" ht="75" customHeight="1" x14ac:dyDescent="0.35">
      <c r="A139" s="576"/>
      <c r="B139" s="600"/>
      <c r="C139" s="500" t="s">
        <v>13</v>
      </c>
      <c r="D139" s="112" t="s">
        <v>90</v>
      </c>
      <c r="E139" s="505"/>
      <c r="F139" s="505"/>
      <c r="G139" s="505"/>
      <c r="H139" s="506"/>
      <c r="I139" s="113"/>
      <c r="J139" s="500" t="s">
        <v>13</v>
      </c>
      <c r="K139" s="112" t="s">
        <v>90</v>
      </c>
      <c r="L139" s="114"/>
      <c r="M139" s="138"/>
      <c r="N139" s="138"/>
      <c r="O139" s="506"/>
      <c r="P139" s="136"/>
      <c r="Q139" s="506"/>
      <c r="R139" s="114"/>
      <c r="S139" s="579"/>
      <c r="T139" s="110"/>
    </row>
    <row r="140" spans="1:21" s="111" customFormat="1" ht="69.75" x14ac:dyDescent="0.35">
      <c r="A140" s="576"/>
      <c r="B140" s="600"/>
      <c r="C140" s="507" t="s">
        <v>14</v>
      </c>
      <c r="D140" s="510" t="s">
        <v>88</v>
      </c>
      <c r="E140" s="505" t="s">
        <v>25</v>
      </c>
      <c r="F140" s="505">
        <v>95</v>
      </c>
      <c r="G140" s="505">
        <v>99</v>
      </c>
      <c r="H140" s="509">
        <f>IF(G140/F140*100&gt;100,100,G140/F140*100)</f>
        <v>100</v>
      </c>
      <c r="I140" s="114"/>
      <c r="J140" s="594" t="s">
        <v>14</v>
      </c>
      <c r="K140" s="596" t="s">
        <v>320</v>
      </c>
      <c r="L140" s="596" t="s">
        <v>38</v>
      </c>
      <c r="M140" s="592">
        <v>267</v>
      </c>
      <c r="N140" s="592">
        <v>267</v>
      </c>
      <c r="O140" s="586">
        <f>IF(N140/M140*100&gt;110,110,N140/M140*100)</f>
        <v>100</v>
      </c>
      <c r="P140" s="588"/>
      <c r="Q140" s="590"/>
      <c r="R140" s="592"/>
      <c r="S140" s="579"/>
      <c r="T140" s="110"/>
    </row>
    <row r="141" spans="1:21" s="111" customFormat="1" ht="69.75" x14ac:dyDescent="0.35">
      <c r="A141" s="576"/>
      <c r="B141" s="600"/>
      <c r="C141" s="507" t="s">
        <v>15</v>
      </c>
      <c r="D141" s="510" t="s">
        <v>91</v>
      </c>
      <c r="E141" s="505" t="s">
        <v>92</v>
      </c>
      <c r="F141" s="505">
        <v>35</v>
      </c>
      <c r="G141" s="505">
        <v>23.8</v>
      </c>
      <c r="H141" s="509">
        <f t="shared" si="1"/>
        <v>100</v>
      </c>
      <c r="I141" s="114"/>
      <c r="J141" s="595"/>
      <c r="K141" s="597"/>
      <c r="L141" s="597"/>
      <c r="M141" s="593"/>
      <c r="N141" s="593"/>
      <c r="O141" s="587"/>
      <c r="P141" s="589"/>
      <c r="Q141" s="591"/>
      <c r="R141" s="593"/>
      <c r="S141" s="579"/>
      <c r="T141" s="110"/>
    </row>
    <row r="142" spans="1:21" s="124" customFormat="1" ht="56.25" customHeight="1" x14ac:dyDescent="0.35">
      <c r="A142" s="576"/>
      <c r="B142" s="600"/>
      <c r="C142" s="182"/>
      <c r="D142" s="183" t="s">
        <v>6</v>
      </c>
      <c r="E142" s="184"/>
      <c r="F142" s="185"/>
      <c r="G142" s="186"/>
      <c r="H142" s="187"/>
      <c r="I142" s="187">
        <f>(H140+H141)/2</f>
        <v>100</v>
      </c>
      <c r="J142" s="184"/>
      <c r="K142" s="183" t="s">
        <v>6</v>
      </c>
      <c r="L142" s="184"/>
      <c r="M142" s="188"/>
      <c r="N142" s="188"/>
      <c r="O142" s="187"/>
      <c r="P142" s="187">
        <f>O140</f>
        <v>100</v>
      </c>
      <c r="Q142" s="187">
        <f>(I142+P142)/2</f>
        <v>100</v>
      </c>
      <c r="R142" s="191" t="s">
        <v>31</v>
      </c>
      <c r="S142" s="579"/>
      <c r="T142" s="110"/>
      <c r="U142" s="189"/>
    </row>
    <row r="143" spans="1:21" s="111" customFormat="1" ht="78.75" customHeight="1" x14ac:dyDescent="0.35">
      <c r="A143" s="576">
        <v>13</v>
      </c>
      <c r="B143" s="600" t="s">
        <v>104</v>
      </c>
      <c r="C143" s="500" t="s">
        <v>12</v>
      </c>
      <c r="D143" s="112" t="s">
        <v>87</v>
      </c>
      <c r="E143" s="120"/>
      <c r="F143" s="120"/>
      <c r="G143" s="120"/>
      <c r="H143" s="506"/>
      <c r="I143" s="113"/>
      <c r="J143" s="502" t="s">
        <v>12</v>
      </c>
      <c r="K143" s="112" t="s">
        <v>87</v>
      </c>
      <c r="L143" s="114"/>
      <c r="M143" s="505"/>
      <c r="N143" s="505"/>
      <c r="O143" s="506"/>
      <c r="P143" s="136"/>
      <c r="Q143" s="506"/>
      <c r="R143" s="507"/>
      <c r="S143" s="579" t="s">
        <v>279</v>
      </c>
      <c r="T143" s="110"/>
    </row>
    <row r="144" spans="1:21" s="111" customFormat="1" ht="69.75" x14ac:dyDescent="0.35">
      <c r="A144" s="576"/>
      <c r="B144" s="600"/>
      <c r="C144" s="507" t="s">
        <v>7</v>
      </c>
      <c r="D144" s="510" t="s">
        <v>88</v>
      </c>
      <c r="E144" s="505" t="s">
        <v>25</v>
      </c>
      <c r="F144" s="505">
        <v>95</v>
      </c>
      <c r="G144" s="505">
        <v>100</v>
      </c>
      <c r="H144" s="509">
        <f>IF(G144/F144*100&gt;100,100,G144/F144*100)</f>
        <v>100</v>
      </c>
      <c r="I144" s="114"/>
      <c r="J144" s="114" t="s">
        <v>7</v>
      </c>
      <c r="K144" s="116" t="s">
        <v>316</v>
      </c>
      <c r="L144" s="114" t="s">
        <v>38</v>
      </c>
      <c r="M144" s="505">
        <v>67</v>
      </c>
      <c r="N144" s="505">
        <v>67</v>
      </c>
      <c r="O144" s="509">
        <f>IF(N144/M144*100&gt;110,110,N144/M144*100)</f>
        <v>100</v>
      </c>
      <c r="P144" s="136"/>
      <c r="Q144" s="506"/>
      <c r="R144" s="505"/>
      <c r="S144" s="579"/>
      <c r="T144" s="110"/>
    </row>
    <row r="145" spans="1:21" s="111" customFormat="1" ht="69.75" x14ac:dyDescent="0.35">
      <c r="A145" s="576"/>
      <c r="B145" s="600"/>
      <c r="C145" s="507"/>
      <c r="D145" s="510"/>
      <c r="E145" s="505"/>
      <c r="F145" s="505"/>
      <c r="G145" s="505"/>
      <c r="H145" s="509"/>
      <c r="I145" s="114"/>
      <c r="J145" s="114" t="s">
        <v>8</v>
      </c>
      <c r="K145" s="116" t="s">
        <v>312</v>
      </c>
      <c r="L145" s="114" t="s">
        <v>38</v>
      </c>
      <c r="M145" s="505">
        <v>153</v>
      </c>
      <c r="N145" s="505">
        <v>153</v>
      </c>
      <c r="O145" s="509">
        <f>IF(N145/M145*100&gt;110,110,N145/M145*100)</f>
        <v>100</v>
      </c>
      <c r="P145" s="136"/>
      <c r="Q145" s="506"/>
      <c r="R145" s="505"/>
      <c r="S145" s="579"/>
      <c r="T145" s="110"/>
    </row>
    <row r="146" spans="1:21" s="111" customFormat="1" ht="45.75" customHeight="1" x14ac:dyDescent="0.35">
      <c r="A146" s="576"/>
      <c r="B146" s="600"/>
      <c r="C146" s="507"/>
      <c r="D146" s="510"/>
      <c r="E146" s="505"/>
      <c r="F146" s="505"/>
      <c r="G146" s="505"/>
      <c r="H146" s="509"/>
      <c r="I146" s="114"/>
      <c r="J146" s="114" t="s">
        <v>9</v>
      </c>
      <c r="K146" s="116" t="s">
        <v>315</v>
      </c>
      <c r="L146" s="114" t="s">
        <v>38</v>
      </c>
      <c r="M146" s="505">
        <v>24</v>
      </c>
      <c r="N146" s="505">
        <v>24</v>
      </c>
      <c r="O146" s="509">
        <f>IF(N146/M146*100&gt;110,110,N146/M146*100)</f>
        <v>100</v>
      </c>
      <c r="P146" s="136"/>
      <c r="Q146" s="506"/>
      <c r="R146" s="505"/>
      <c r="S146" s="579"/>
      <c r="T146" s="110"/>
    </row>
    <row r="147" spans="1:21" s="124" customFormat="1" ht="39.75" customHeight="1" x14ac:dyDescent="0.35">
      <c r="A147" s="576"/>
      <c r="B147" s="600"/>
      <c r="C147" s="182"/>
      <c r="D147" s="183" t="s">
        <v>6</v>
      </c>
      <c r="E147" s="184"/>
      <c r="F147" s="185"/>
      <c r="G147" s="186"/>
      <c r="H147" s="187"/>
      <c r="I147" s="187">
        <f>H144</f>
        <v>100</v>
      </c>
      <c r="J147" s="184"/>
      <c r="K147" s="183" t="s">
        <v>6</v>
      </c>
      <c r="L147" s="184"/>
      <c r="M147" s="188"/>
      <c r="N147" s="188"/>
      <c r="O147" s="187"/>
      <c r="P147" s="187">
        <f>(O146+O144+O145)/3</f>
        <v>100</v>
      </c>
      <c r="Q147" s="187">
        <f>(I147+P147)/2</f>
        <v>100</v>
      </c>
      <c r="R147" s="191" t="s">
        <v>31</v>
      </c>
      <c r="S147" s="579"/>
      <c r="T147" s="110"/>
      <c r="U147" s="189"/>
    </row>
    <row r="148" spans="1:21" s="111" customFormat="1" ht="51" customHeight="1" x14ac:dyDescent="0.35">
      <c r="A148" s="576"/>
      <c r="B148" s="600"/>
      <c r="C148" s="500" t="s">
        <v>13</v>
      </c>
      <c r="D148" s="112" t="s">
        <v>90</v>
      </c>
      <c r="E148" s="505"/>
      <c r="F148" s="505"/>
      <c r="G148" s="505"/>
      <c r="H148" s="506"/>
      <c r="I148" s="113"/>
      <c r="J148" s="500" t="s">
        <v>13</v>
      </c>
      <c r="K148" s="112" t="s">
        <v>90</v>
      </c>
      <c r="L148" s="114"/>
      <c r="M148" s="138"/>
      <c r="N148" s="138"/>
      <c r="O148" s="506"/>
      <c r="P148" s="136"/>
      <c r="Q148" s="506"/>
      <c r="R148" s="507"/>
      <c r="S148" s="579"/>
      <c r="T148" s="110"/>
    </row>
    <row r="149" spans="1:21" s="111" customFormat="1" ht="69.75" x14ac:dyDescent="0.35">
      <c r="A149" s="576"/>
      <c r="B149" s="600"/>
      <c r="C149" s="507" t="s">
        <v>14</v>
      </c>
      <c r="D149" s="510" t="s">
        <v>88</v>
      </c>
      <c r="E149" s="505" t="s">
        <v>25</v>
      </c>
      <c r="F149" s="505">
        <v>95</v>
      </c>
      <c r="G149" s="505">
        <v>100</v>
      </c>
      <c r="H149" s="509">
        <f>IF(G149/F149*100&gt;100,100,G149/F149*100)</f>
        <v>100</v>
      </c>
      <c r="I149" s="114"/>
      <c r="J149" s="594" t="s">
        <v>14</v>
      </c>
      <c r="K149" s="596" t="s">
        <v>325</v>
      </c>
      <c r="L149" s="596" t="s">
        <v>38</v>
      </c>
      <c r="M149" s="592">
        <v>244</v>
      </c>
      <c r="N149" s="592">
        <v>244</v>
      </c>
      <c r="O149" s="586">
        <f>IF(N149/M149*100&gt;110,110,N149/M149*100)</f>
        <v>100</v>
      </c>
      <c r="P149" s="588"/>
      <c r="Q149" s="590"/>
      <c r="R149" s="592"/>
      <c r="S149" s="579"/>
      <c r="T149" s="110"/>
    </row>
    <row r="150" spans="1:21" s="111" customFormat="1" ht="69.75" x14ac:dyDescent="0.35">
      <c r="A150" s="576"/>
      <c r="B150" s="600"/>
      <c r="C150" s="507" t="s">
        <v>15</v>
      </c>
      <c r="D150" s="510" t="s">
        <v>91</v>
      </c>
      <c r="E150" s="505" t="s">
        <v>92</v>
      </c>
      <c r="F150" s="505">
        <v>35</v>
      </c>
      <c r="G150" s="505">
        <v>32.799999999999997</v>
      </c>
      <c r="H150" s="509">
        <f t="shared" si="1"/>
        <v>100</v>
      </c>
      <c r="I150" s="114"/>
      <c r="J150" s="595"/>
      <c r="K150" s="597"/>
      <c r="L150" s="597"/>
      <c r="M150" s="593"/>
      <c r="N150" s="593"/>
      <c r="O150" s="587"/>
      <c r="P150" s="589"/>
      <c r="Q150" s="591"/>
      <c r="R150" s="593"/>
      <c r="S150" s="579"/>
      <c r="T150" s="110"/>
    </row>
    <row r="151" spans="1:21" s="124" customFormat="1" ht="56.25" customHeight="1" x14ac:dyDescent="0.35">
      <c r="A151" s="576"/>
      <c r="B151" s="600"/>
      <c r="C151" s="182"/>
      <c r="D151" s="183" t="s">
        <v>6</v>
      </c>
      <c r="E151" s="184"/>
      <c r="F151" s="185"/>
      <c r="G151" s="186"/>
      <c r="H151" s="187"/>
      <c r="I151" s="187">
        <f>(H150+H149)/2</f>
        <v>100</v>
      </c>
      <c r="J151" s="184"/>
      <c r="K151" s="183" t="s">
        <v>6</v>
      </c>
      <c r="L151" s="184"/>
      <c r="M151" s="188"/>
      <c r="N151" s="188"/>
      <c r="O151" s="187"/>
      <c r="P151" s="187">
        <f>(O149)/1</f>
        <v>100</v>
      </c>
      <c r="Q151" s="187">
        <f>(I151+P151)/2</f>
        <v>100</v>
      </c>
      <c r="R151" s="191" t="s">
        <v>31</v>
      </c>
      <c r="S151" s="579"/>
      <c r="T151" s="110"/>
      <c r="U151" s="189"/>
    </row>
    <row r="152" spans="1:21" s="111" customFormat="1" ht="88.5" customHeight="1" x14ac:dyDescent="0.35">
      <c r="A152" s="576">
        <v>14</v>
      </c>
      <c r="B152" s="600" t="s">
        <v>105</v>
      </c>
      <c r="C152" s="500" t="s">
        <v>12</v>
      </c>
      <c r="D152" s="112" t="s">
        <v>87</v>
      </c>
      <c r="E152" s="120"/>
      <c r="F152" s="120"/>
      <c r="G152" s="120"/>
      <c r="H152" s="506"/>
      <c r="I152" s="113"/>
      <c r="J152" s="502" t="s">
        <v>12</v>
      </c>
      <c r="K152" s="112" t="s">
        <v>87</v>
      </c>
      <c r="L152" s="114"/>
      <c r="M152" s="505"/>
      <c r="N152" s="505"/>
      <c r="O152" s="506"/>
      <c r="P152" s="136"/>
      <c r="Q152" s="506"/>
      <c r="R152" s="507"/>
      <c r="S152" s="579" t="s">
        <v>279</v>
      </c>
      <c r="T152" s="110"/>
    </row>
    <row r="153" spans="1:21" s="111" customFormat="1" ht="69.75" x14ac:dyDescent="0.35">
      <c r="A153" s="576"/>
      <c r="B153" s="600"/>
      <c r="C153" s="507" t="s">
        <v>7</v>
      </c>
      <c r="D153" s="510" t="s">
        <v>88</v>
      </c>
      <c r="E153" s="505" t="s">
        <v>25</v>
      </c>
      <c r="F153" s="505">
        <v>95</v>
      </c>
      <c r="G153" s="505">
        <v>100</v>
      </c>
      <c r="H153" s="509">
        <f>IF(G153/F153*100&gt;100,100,G153/F153*100)</f>
        <v>100</v>
      </c>
      <c r="I153" s="114"/>
      <c r="J153" s="114" t="s">
        <v>7</v>
      </c>
      <c r="K153" s="116" t="s">
        <v>316</v>
      </c>
      <c r="L153" s="114" t="s">
        <v>38</v>
      </c>
      <c r="M153" s="505">
        <v>79</v>
      </c>
      <c r="N153" s="505">
        <v>79</v>
      </c>
      <c r="O153" s="509">
        <f>IF(N153/M153*100&gt;110,110,N153/M153*100)</f>
        <v>100</v>
      </c>
      <c r="P153" s="136"/>
      <c r="Q153" s="506"/>
      <c r="R153" s="505"/>
      <c r="S153" s="579"/>
      <c r="T153" s="110"/>
    </row>
    <row r="154" spans="1:21" s="111" customFormat="1" ht="69.75" x14ac:dyDescent="0.35">
      <c r="A154" s="576"/>
      <c r="B154" s="600"/>
      <c r="C154" s="507"/>
      <c r="D154" s="510"/>
      <c r="E154" s="505"/>
      <c r="F154" s="505"/>
      <c r="G154" s="505"/>
      <c r="H154" s="509"/>
      <c r="I154" s="114"/>
      <c r="J154" s="114" t="s">
        <v>8</v>
      </c>
      <c r="K154" s="116" t="s">
        <v>312</v>
      </c>
      <c r="L154" s="114" t="s">
        <v>38</v>
      </c>
      <c r="M154" s="505">
        <v>135</v>
      </c>
      <c r="N154" s="505">
        <v>135</v>
      </c>
      <c r="O154" s="509">
        <f>IF(N154/M154*100&gt;110,110,N154/M154*100)</f>
        <v>100</v>
      </c>
      <c r="P154" s="136"/>
      <c r="Q154" s="506"/>
      <c r="R154" s="505"/>
      <c r="S154" s="579"/>
      <c r="T154" s="110"/>
    </row>
    <row r="155" spans="1:21" s="111" customFormat="1" ht="39.75" customHeight="1" x14ac:dyDescent="0.35">
      <c r="A155" s="576"/>
      <c r="B155" s="600"/>
      <c r="C155" s="507"/>
      <c r="D155" s="510"/>
      <c r="E155" s="505"/>
      <c r="F155" s="505"/>
      <c r="G155" s="505"/>
      <c r="H155" s="509"/>
      <c r="I155" s="114"/>
      <c r="J155" s="114" t="s">
        <v>9</v>
      </c>
      <c r="K155" s="116" t="s">
        <v>321</v>
      </c>
      <c r="L155" s="114" t="s">
        <v>38</v>
      </c>
      <c r="M155" s="505">
        <v>29</v>
      </c>
      <c r="N155" s="505">
        <v>29</v>
      </c>
      <c r="O155" s="509">
        <f>IF(N155/M155*100&gt;110,110,N155/M155*100)</f>
        <v>100</v>
      </c>
      <c r="P155" s="136"/>
      <c r="Q155" s="506"/>
      <c r="R155" s="505"/>
      <c r="S155" s="579"/>
      <c r="T155" s="110"/>
    </row>
    <row r="156" spans="1:21" s="124" customFormat="1" ht="39.75" customHeight="1" x14ac:dyDescent="0.35">
      <c r="A156" s="576"/>
      <c r="B156" s="600"/>
      <c r="C156" s="182"/>
      <c r="D156" s="183" t="s">
        <v>6</v>
      </c>
      <c r="E156" s="184"/>
      <c r="F156" s="185"/>
      <c r="G156" s="186"/>
      <c r="H156" s="187"/>
      <c r="I156" s="187">
        <f>H153</f>
        <v>100</v>
      </c>
      <c r="J156" s="184"/>
      <c r="K156" s="183" t="s">
        <v>6</v>
      </c>
      <c r="L156" s="184"/>
      <c r="M156" s="188"/>
      <c r="N156" s="188"/>
      <c r="O156" s="187"/>
      <c r="P156" s="187">
        <f>(O154+O155)/2</f>
        <v>100</v>
      </c>
      <c r="Q156" s="187">
        <f>(I156+P156)/2</f>
        <v>100</v>
      </c>
      <c r="R156" s="191" t="s">
        <v>31</v>
      </c>
      <c r="S156" s="579"/>
      <c r="T156" s="110"/>
      <c r="U156" s="189"/>
    </row>
    <row r="157" spans="1:21" s="111" customFormat="1" ht="46.5" customHeight="1" x14ac:dyDescent="0.35">
      <c r="A157" s="576"/>
      <c r="B157" s="600"/>
      <c r="C157" s="500" t="s">
        <v>13</v>
      </c>
      <c r="D157" s="112" t="s">
        <v>90</v>
      </c>
      <c r="E157" s="505"/>
      <c r="F157" s="505"/>
      <c r="G157" s="505"/>
      <c r="H157" s="506"/>
      <c r="I157" s="113"/>
      <c r="J157" s="500" t="s">
        <v>13</v>
      </c>
      <c r="K157" s="112" t="s">
        <v>90</v>
      </c>
      <c r="L157" s="114"/>
      <c r="M157" s="138"/>
      <c r="N157" s="138"/>
      <c r="O157" s="506"/>
      <c r="P157" s="136"/>
      <c r="Q157" s="506"/>
      <c r="R157" s="114"/>
      <c r="S157" s="579"/>
      <c r="T157" s="110"/>
    </row>
    <row r="158" spans="1:21" s="111" customFormat="1" ht="69.75" x14ac:dyDescent="0.35">
      <c r="A158" s="576"/>
      <c r="B158" s="600"/>
      <c r="C158" s="507" t="s">
        <v>14</v>
      </c>
      <c r="D158" s="510" t="s">
        <v>88</v>
      </c>
      <c r="E158" s="505" t="s">
        <v>25</v>
      </c>
      <c r="F158" s="505">
        <v>95</v>
      </c>
      <c r="G158" s="505">
        <v>100</v>
      </c>
      <c r="H158" s="509">
        <f>IF(G158/F158*100&gt;100,100,G158/F158*100)</f>
        <v>100</v>
      </c>
      <c r="I158" s="114"/>
      <c r="J158" s="118" t="s">
        <v>14</v>
      </c>
      <c r="K158" s="116" t="s">
        <v>325</v>
      </c>
      <c r="L158" s="114" t="s">
        <v>38</v>
      </c>
      <c r="M158" s="505">
        <v>242</v>
      </c>
      <c r="N158" s="505">
        <v>242</v>
      </c>
      <c r="O158" s="509">
        <f>IF(N158/M158*100&gt;110,110,N158/M158*100)</f>
        <v>100</v>
      </c>
      <c r="P158" s="136"/>
      <c r="Q158" s="506"/>
      <c r="R158" s="505"/>
      <c r="S158" s="579"/>
      <c r="T158" s="110"/>
    </row>
    <row r="159" spans="1:21" s="111" customFormat="1" ht="69.75" x14ac:dyDescent="0.35">
      <c r="A159" s="576"/>
      <c r="B159" s="600"/>
      <c r="C159" s="507" t="s">
        <v>15</v>
      </c>
      <c r="D159" s="510" t="s">
        <v>91</v>
      </c>
      <c r="E159" s="505" t="s">
        <v>92</v>
      </c>
      <c r="F159" s="505">
        <v>35</v>
      </c>
      <c r="G159" s="505">
        <v>24</v>
      </c>
      <c r="H159" s="509">
        <f t="shared" si="1"/>
        <v>100</v>
      </c>
      <c r="I159" s="114"/>
      <c r="J159" s="118" t="s">
        <v>15</v>
      </c>
      <c r="K159" s="116" t="s">
        <v>313</v>
      </c>
      <c r="L159" s="114" t="s">
        <v>38</v>
      </c>
      <c r="M159" s="505">
        <v>1</v>
      </c>
      <c r="N159" s="505">
        <v>1</v>
      </c>
      <c r="O159" s="509">
        <f>IF(N159/M159*100&gt;110,110,N159/M159*100)</f>
        <v>100</v>
      </c>
      <c r="P159" s="136"/>
      <c r="Q159" s="506"/>
      <c r="R159" s="505"/>
      <c r="S159" s="579"/>
      <c r="T159" s="110"/>
    </row>
    <row r="160" spans="1:21" s="124" customFormat="1" ht="56.25" customHeight="1" x14ac:dyDescent="0.35">
      <c r="A160" s="576"/>
      <c r="B160" s="600"/>
      <c r="C160" s="182"/>
      <c r="D160" s="183" t="s">
        <v>6</v>
      </c>
      <c r="E160" s="184"/>
      <c r="F160" s="185"/>
      <c r="G160" s="186"/>
      <c r="H160" s="187"/>
      <c r="I160" s="187">
        <f>(H158+H159)/2</f>
        <v>100</v>
      </c>
      <c r="J160" s="184"/>
      <c r="K160" s="183" t="s">
        <v>6</v>
      </c>
      <c r="L160" s="184"/>
      <c r="M160" s="188"/>
      <c r="N160" s="188"/>
      <c r="O160" s="187"/>
      <c r="P160" s="187">
        <f>(O158+O159)/2</f>
        <v>100</v>
      </c>
      <c r="Q160" s="187">
        <f>(I160+P160)/2</f>
        <v>100</v>
      </c>
      <c r="R160" s="191" t="s">
        <v>31</v>
      </c>
      <c r="S160" s="579"/>
      <c r="T160" s="110"/>
      <c r="U160" s="189"/>
    </row>
    <row r="161" spans="1:21" s="111" customFormat="1" ht="64.5" customHeight="1" x14ac:dyDescent="0.35">
      <c r="A161" s="576"/>
      <c r="B161" s="600"/>
      <c r="C161" s="500" t="s">
        <v>28</v>
      </c>
      <c r="D161" s="112" t="s">
        <v>380</v>
      </c>
      <c r="E161" s="505"/>
      <c r="F161" s="505"/>
      <c r="G161" s="505"/>
      <c r="H161" s="506"/>
      <c r="I161" s="113"/>
      <c r="J161" s="500" t="s">
        <v>28</v>
      </c>
      <c r="K161" s="112" t="str">
        <f>D161</f>
        <v>Предоставление консультационных и методических услуг</v>
      </c>
      <c r="L161" s="114"/>
      <c r="M161" s="140"/>
      <c r="N161" s="140"/>
      <c r="O161" s="506"/>
      <c r="P161" s="136"/>
      <c r="Q161" s="506"/>
      <c r="R161" s="507"/>
      <c r="S161" s="579"/>
      <c r="T161" s="110"/>
    </row>
    <row r="162" spans="1:21" s="111" customFormat="1" ht="64.5" customHeight="1" x14ac:dyDescent="0.35">
      <c r="A162" s="576"/>
      <c r="B162" s="600"/>
      <c r="C162" s="507" t="s">
        <v>29</v>
      </c>
      <c r="D162" s="510" t="s">
        <v>314</v>
      </c>
      <c r="E162" s="505" t="s">
        <v>318</v>
      </c>
      <c r="F162" s="505">
        <v>50</v>
      </c>
      <c r="G162" s="505">
        <v>50</v>
      </c>
      <c r="H162" s="509">
        <f>IF(G162/F162*100&gt;100,100,G162/F162*100)</f>
        <v>100</v>
      </c>
      <c r="I162" s="114"/>
      <c r="J162" s="118" t="s">
        <v>29</v>
      </c>
      <c r="K162" s="116" t="s">
        <v>93</v>
      </c>
      <c r="L162" s="114" t="s">
        <v>36</v>
      </c>
      <c r="M162" s="505">
        <v>100</v>
      </c>
      <c r="N162" s="505">
        <v>100</v>
      </c>
      <c r="O162" s="509">
        <f>IF(N162/M162*100&gt;110,110,N162/M162*100)</f>
        <v>100</v>
      </c>
      <c r="P162" s="136"/>
      <c r="Q162" s="506"/>
      <c r="R162" s="505"/>
      <c r="S162" s="579"/>
      <c r="T162" s="110"/>
    </row>
    <row r="163" spans="1:21" s="124" customFormat="1" ht="37.5" customHeight="1" x14ac:dyDescent="0.35">
      <c r="A163" s="576"/>
      <c r="B163" s="600"/>
      <c r="C163" s="191"/>
      <c r="D163" s="183" t="s">
        <v>6</v>
      </c>
      <c r="E163" s="191"/>
      <c r="F163" s="184"/>
      <c r="G163" s="184"/>
      <c r="H163" s="187"/>
      <c r="I163" s="187">
        <f>H162</f>
        <v>100</v>
      </c>
      <c r="J163" s="182"/>
      <c r="K163" s="183" t="s">
        <v>6</v>
      </c>
      <c r="L163" s="184"/>
      <c r="M163" s="188"/>
      <c r="N163" s="188"/>
      <c r="O163" s="187"/>
      <c r="P163" s="187">
        <f>O162</f>
        <v>100</v>
      </c>
      <c r="Q163" s="187">
        <f>(I163+P163)/2</f>
        <v>100</v>
      </c>
      <c r="R163" s="191" t="s">
        <v>31</v>
      </c>
      <c r="S163" s="579"/>
      <c r="T163" s="110"/>
    </row>
    <row r="164" spans="1:21" s="111" customFormat="1" ht="87.75" customHeight="1" x14ac:dyDescent="0.35">
      <c r="A164" s="576">
        <v>15</v>
      </c>
      <c r="B164" s="600" t="s">
        <v>106</v>
      </c>
      <c r="C164" s="500" t="s">
        <v>12</v>
      </c>
      <c r="D164" s="112" t="s">
        <v>87</v>
      </c>
      <c r="E164" s="120"/>
      <c r="F164" s="120"/>
      <c r="G164" s="120"/>
      <c r="H164" s="506"/>
      <c r="I164" s="113"/>
      <c r="J164" s="502" t="s">
        <v>12</v>
      </c>
      <c r="K164" s="112" t="s">
        <v>87</v>
      </c>
      <c r="L164" s="114"/>
      <c r="M164" s="505"/>
      <c r="N164" s="505"/>
      <c r="O164" s="506"/>
      <c r="P164" s="136"/>
      <c r="Q164" s="506"/>
      <c r="R164" s="507"/>
      <c r="S164" s="579" t="s">
        <v>279</v>
      </c>
      <c r="T164" s="110"/>
    </row>
    <row r="165" spans="1:21" s="111" customFormat="1" ht="78" customHeight="1" x14ac:dyDescent="0.35">
      <c r="A165" s="576"/>
      <c r="B165" s="600"/>
      <c r="C165" s="507" t="s">
        <v>7</v>
      </c>
      <c r="D165" s="510" t="s">
        <v>88</v>
      </c>
      <c r="E165" s="505" t="s">
        <v>25</v>
      </c>
      <c r="F165" s="505">
        <v>95</v>
      </c>
      <c r="G165" s="505">
        <v>98</v>
      </c>
      <c r="H165" s="509">
        <f>IF(G165/F165*100&gt;100,100,G165/F165*100)</f>
        <v>100</v>
      </c>
      <c r="I165" s="114"/>
      <c r="J165" s="114" t="s">
        <v>7</v>
      </c>
      <c r="K165" s="116" t="s">
        <v>316</v>
      </c>
      <c r="L165" s="114" t="s">
        <v>38</v>
      </c>
      <c r="M165" s="505">
        <v>57</v>
      </c>
      <c r="N165" s="505">
        <v>57</v>
      </c>
      <c r="O165" s="509">
        <f>IF(N165/M165*100&gt;110,110,N165/M165*100)</f>
        <v>100</v>
      </c>
      <c r="P165" s="136"/>
      <c r="Q165" s="506"/>
      <c r="R165" s="505"/>
      <c r="S165" s="579"/>
      <c r="T165" s="110"/>
    </row>
    <row r="166" spans="1:21" s="111" customFormat="1" ht="81" customHeight="1" x14ac:dyDescent="0.35">
      <c r="A166" s="576"/>
      <c r="B166" s="600"/>
      <c r="C166" s="507"/>
      <c r="D166" s="510"/>
      <c r="E166" s="505"/>
      <c r="F166" s="505"/>
      <c r="G166" s="505"/>
      <c r="H166" s="509"/>
      <c r="I166" s="114"/>
      <c r="J166" s="114" t="s">
        <v>8</v>
      </c>
      <c r="K166" s="116" t="s">
        <v>312</v>
      </c>
      <c r="L166" s="114" t="s">
        <v>38</v>
      </c>
      <c r="M166" s="505">
        <v>153</v>
      </c>
      <c r="N166" s="505">
        <v>153</v>
      </c>
      <c r="O166" s="509">
        <f>IF(N166/M166*100&gt;110,110,N166/M166*100)</f>
        <v>100</v>
      </c>
      <c r="P166" s="136"/>
      <c r="Q166" s="506"/>
      <c r="R166" s="505"/>
      <c r="S166" s="579"/>
      <c r="T166" s="110"/>
    </row>
    <row r="167" spans="1:21" s="111" customFormat="1" ht="59.25" customHeight="1" x14ac:dyDescent="0.35">
      <c r="A167" s="576"/>
      <c r="B167" s="600"/>
      <c r="C167" s="507"/>
      <c r="D167" s="510"/>
      <c r="E167" s="505"/>
      <c r="F167" s="505"/>
      <c r="G167" s="505"/>
      <c r="H167" s="509"/>
      <c r="I167" s="114"/>
      <c r="J167" s="114" t="s">
        <v>9</v>
      </c>
      <c r="K167" s="116" t="s">
        <v>322</v>
      </c>
      <c r="L167" s="114" t="s">
        <v>38</v>
      </c>
      <c r="M167" s="505">
        <v>19</v>
      </c>
      <c r="N167" s="505">
        <v>19</v>
      </c>
      <c r="O167" s="509">
        <f>IF(N167/M167*100&gt;110,110,N167/M167*100)</f>
        <v>100</v>
      </c>
      <c r="P167" s="136"/>
      <c r="Q167" s="506"/>
      <c r="R167" s="505"/>
      <c r="S167" s="579"/>
      <c r="T167" s="110"/>
    </row>
    <row r="168" spans="1:21" s="124" customFormat="1" ht="39.75" customHeight="1" x14ac:dyDescent="0.35">
      <c r="A168" s="576"/>
      <c r="B168" s="600"/>
      <c r="C168" s="182"/>
      <c r="D168" s="183" t="s">
        <v>6</v>
      </c>
      <c r="E168" s="184"/>
      <c r="F168" s="185"/>
      <c r="G168" s="186"/>
      <c r="H168" s="187"/>
      <c r="I168" s="187">
        <f>H165</f>
        <v>100</v>
      </c>
      <c r="J168" s="184"/>
      <c r="K168" s="183" t="s">
        <v>6</v>
      </c>
      <c r="L168" s="184"/>
      <c r="M168" s="188"/>
      <c r="N168" s="188"/>
      <c r="O168" s="187"/>
      <c r="P168" s="187">
        <f>(O167+O165+O166)/3</f>
        <v>100</v>
      </c>
      <c r="Q168" s="187">
        <f>(I168+P168)/2</f>
        <v>100</v>
      </c>
      <c r="R168" s="191" t="s">
        <v>31</v>
      </c>
      <c r="S168" s="579"/>
      <c r="T168" s="110"/>
      <c r="U168" s="189"/>
    </row>
    <row r="169" spans="1:21" s="111" customFormat="1" ht="36.75" customHeight="1" x14ac:dyDescent="0.35">
      <c r="A169" s="576"/>
      <c r="B169" s="600"/>
      <c r="C169" s="500" t="s">
        <v>13</v>
      </c>
      <c r="D169" s="112" t="s">
        <v>90</v>
      </c>
      <c r="E169" s="505"/>
      <c r="F169" s="505"/>
      <c r="G169" s="505"/>
      <c r="H169" s="506"/>
      <c r="I169" s="113"/>
      <c r="J169" s="500" t="s">
        <v>13</v>
      </c>
      <c r="K169" s="112" t="s">
        <v>90</v>
      </c>
      <c r="L169" s="114"/>
      <c r="M169" s="138"/>
      <c r="N169" s="138"/>
      <c r="O169" s="506"/>
      <c r="P169" s="136"/>
      <c r="Q169" s="506"/>
      <c r="R169" s="507"/>
      <c r="S169" s="579"/>
      <c r="T169" s="110"/>
    </row>
    <row r="170" spans="1:21" s="111" customFormat="1" ht="69.75" x14ac:dyDescent="0.35">
      <c r="A170" s="576"/>
      <c r="B170" s="600"/>
      <c r="C170" s="507" t="s">
        <v>14</v>
      </c>
      <c r="D170" s="510" t="s">
        <v>88</v>
      </c>
      <c r="E170" s="505" t="s">
        <v>25</v>
      </c>
      <c r="F170" s="505">
        <v>95</v>
      </c>
      <c r="G170" s="505">
        <v>98</v>
      </c>
      <c r="H170" s="509">
        <f>IF(G170/F170*100&gt;100,100,G170/F170*100)</f>
        <v>100</v>
      </c>
      <c r="I170" s="114"/>
      <c r="J170" s="118" t="s">
        <v>14</v>
      </c>
      <c r="K170" s="116" t="s">
        <v>320</v>
      </c>
      <c r="L170" s="114" t="s">
        <v>38</v>
      </c>
      <c r="M170" s="505">
        <v>226</v>
      </c>
      <c r="N170" s="505">
        <v>226</v>
      </c>
      <c r="O170" s="509">
        <f>IF(N170/M170*100&gt;110,110,N170/M170*100)</f>
        <v>100</v>
      </c>
      <c r="P170" s="136"/>
      <c r="Q170" s="506"/>
      <c r="R170" s="505"/>
      <c r="S170" s="579"/>
      <c r="T170" s="110"/>
    </row>
    <row r="171" spans="1:21" s="111" customFormat="1" ht="69.75" x14ac:dyDescent="0.35">
      <c r="A171" s="576"/>
      <c r="B171" s="600"/>
      <c r="C171" s="507" t="s">
        <v>15</v>
      </c>
      <c r="D171" s="510" t="s">
        <v>91</v>
      </c>
      <c r="E171" s="505" t="s">
        <v>92</v>
      </c>
      <c r="F171" s="505">
        <v>35</v>
      </c>
      <c r="G171" s="505">
        <v>32</v>
      </c>
      <c r="H171" s="509">
        <f t="shared" si="1"/>
        <v>100</v>
      </c>
      <c r="I171" s="114"/>
      <c r="J171" s="118" t="s">
        <v>15</v>
      </c>
      <c r="K171" s="116" t="s">
        <v>313</v>
      </c>
      <c r="L171" s="114" t="s">
        <v>38</v>
      </c>
      <c r="M171" s="505">
        <v>3</v>
      </c>
      <c r="N171" s="505">
        <v>3</v>
      </c>
      <c r="O171" s="509">
        <f>IF(N171/M171*100&gt;110,110,N171/M171*100)</f>
        <v>100</v>
      </c>
      <c r="P171" s="136"/>
      <c r="Q171" s="506"/>
      <c r="R171" s="505"/>
      <c r="S171" s="579"/>
      <c r="T171" s="110"/>
    </row>
    <row r="172" spans="1:21" s="124" customFormat="1" ht="56.25" customHeight="1" x14ac:dyDescent="0.35">
      <c r="A172" s="576"/>
      <c r="B172" s="600"/>
      <c r="C172" s="182"/>
      <c r="D172" s="183" t="s">
        <v>6</v>
      </c>
      <c r="E172" s="184"/>
      <c r="F172" s="185"/>
      <c r="G172" s="186"/>
      <c r="H172" s="187"/>
      <c r="I172" s="187">
        <f>(H171+H170)/2</f>
        <v>100</v>
      </c>
      <c r="J172" s="184"/>
      <c r="K172" s="183" t="s">
        <v>6</v>
      </c>
      <c r="L172" s="184"/>
      <c r="M172" s="188"/>
      <c r="N172" s="188"/>
      <c r="O172" s="187"/>
      <c r="P172" s="187">
        <f>(O171+O170)/2</f>
        <v>100</v>
      </c>
      <c r="Q172" s="187">
        <f>(I172+P172)/2</f>
        <v>100</v>
      </c>
      <c r="R172" s="191" t="s">
        <v>31</v>
      </c>
      <c r="S172" s="579"/>
      <c r="T172" s="110"/>
      <c r="U172" s="189"/>
    </row>
    <row r="173" spans="1:21" s="111" customFormat="1" ht="99" customHeight="1" x14ac:dyDescent="0.35">
      <c r="A173" s="576">
        <v>16</v>
      </c>
      <c r="B173" s="600" t="s">
        <v>107</v>
      </c>
      <c r="C173" s="500" t="s">
        <v>12</v>
      </c>
      <c r="D173" s="112" t="s">
        <v>87</v>
      </c>
      <c r="E173" s="120"/>
      <c r="F173" s="120"/>
      <c r="G173" s="120"/>
      <c r="H173" s="506"/>
      <c r="I173" s="113"/>
      <c r="J173" s="502" t="s">
        <v>12</v>
      </c>
      <c r="K173" s="112" t="s">
        <v>87</v>
      </c>
      <c r="L173" s="114"/>
      <c r="M173" s="505"/>
      <c r="N173" s="505"/>
      <c r="O173" s="506"/>
      <c r="P173" s="136"/>
      <c r="Q173" s="506"/>
      <c r="R173" s="507"/>
      <c r="S173" s="579" t="s">
        <v>279</v>
      </c>
      <c r="T173" s="110"/>
    </row>
    <row r="174" spans="1:21" s="111" customFormat="1" ht="69.75" x14ac:dyDescent="0.35">
      <c r="A174" s="576"/>
      <c r="B174" s="600"/>
      <c r="C174" s="507" t="s">
        <v>7</v>
      </c>
      <c r="D174" s="510" t="s">
        <v>88</v>
      </c>
      <c r="E174" s="505" t="s">
        <v>25</v>
      </c>
      <c r="F174" s="505">
        <v>95</v>
      </c>
      <c r="G174" s="505">
        <v>97</v>
      </c>
      <c r="H174" s="509">
        <f>IF(G174/F174*100&gt;100,100,G174/F174*100)</f>
        <v>100</v>
      </c>
      <c r="I174" s="114"/>
      <c r="J174" s="114" t="s">
        <v>7</v>
      </c>
      <c r="K174" s="116" t="s">
        <v>316</v>
      </c>
      <c r="L174" s="114" t="s">
        <v>38</v>
      </c>
      <c r="M174" s="505">
        <v>40</v>
      </c>
      <c r="N174" s="505">
        <v>40</v>
      </c>
      <c r="O174" s="509">
        <f>IF(N174/M174*100&gt;110,110,N174/M174*100)</f>
        <v>100</v>
      </c>
      <c r="P174" s="136"/>
      <c r="Q174" s="506"/>
      <c r="R174" s="505"/>
      <c r="S174" s="579"/>
      <c r="T174" s="110"/>
    </row>
    <row r="175" spans="1:21" s="111" customFormat="1" ht="69.75" x14ac:dyDescent="0.35">
      <c r="A175" s="576"/>
      <c r="B175" s="600"/>
      <c r="C175" s="507"/>
      <c r="D175" s="510"/>
      <c r="E175" s="505"/>
      <c r="F175" s="505"/>
      <c r="G175" s="505"/>
      <c r="H175" s="509"/>
      <c r="I175" s="114"/>
      <c r="J175" s="114" t="s">
        <v>8</v>
      </c>
      <c r="K175" s="116" t="s">
        <v>312</v>
      </c>
      <c r="L175" s="114" t="s">
        <v>38</v>
      </c>
      <c r="M175" s="505">
        <v>109</v>
      </c>
      <c r="N175" s="505">
        <v>109</v>
      </c>
      <c r="O175" s="509">
        <f>IF(N175/M175*100&gt;110,110,N175/M175*100)</f>
        <v>100</v>
      </c>
      <c r="P175" s="136"/>
      <c r="Q175" s="506"/>
      <c r="R175" s="505"/>
      <c r="S175" s="579"/>
      <c r="T175" s="110"/>
    </row>
    <row r="176" spans="1:21" s="111" customFormat="1" ht="42.75" customHeight="1" x14ac:dyDescent="0.35">
      <c r="A176" s="576"/>
      <c r="B176" s="600"/>
      <c r="C176" s="507"/>
      <c r="D176" s="510"/>
      <c r="E176" s="505"/>
      <c r="F176" s="505"/>
      <c r="G176" s="505"/>
      <c r="H176" s="509"/>
      <c r="I176" s="114"/>
      <c r="J176" s="114" t="s">
        <v>9</v>
      </c>
      <c r="K176" s="116" t="s">
        <v>322</v>
      </c>
      <c r="L176" s="114" t="s">
        <v>38</v>
      </c>
      <c r="M176" s="505">
        <v>27</v>
      </c>
      <c r="N176" s="505">
        <v>27</v>
      </c>
      <c r="O176" s="509">
        <f>IF(N176/M176*100&gt;110,110,N176/M176*100)</f>
        <v>100</v>
      </c>
      <c r="P176" s="136"/>
      <c r="Q176" s="506"/>
      <c r="R176" s="505"/>
      <c r="S176" s="579"/>
      <c r="T176" s="110"/>
    </row>
    <row r="177" spans="1:21" s="124" customFormat="1" ht="39.75" customHeight="1" x14ac:dyDescent="0.35">
      <c r="A177" s="576"/>
      <c r="B177" s="600"/>
      <c r="C177" s="182"/>
      <c r="D177" s="183" t="s">
        <v>6</v>
      </c>
      <c r="E177" s="184"/>
      <c r="F177" s="185"/>
      <c r="G177" s="186"/>
      <c r="H177" s="187"/>
      <c r="I177" s="187">
        <f>H174</f>
        <v>100</v>
      </c>
      <c r="J177" s="184"/>
      <c r="K177" s="183" t="s">
        <v>6</v>
      </c>
      <c r="L177" s="184"/>
      <c r="M177" s="188"/>
      <c r="N177" s="188"/>
      <c r="O177" s="187"/>
      <c r="P177" s="187">
        <f>(O176+O174+O175)/3</f>
        <v>100</v>
      </c>
      <c r="Q177" s="187">
        <f>(I177+P177)/2</f>
        <v>100</v>
      </c>
      <c r="R177" s="191" t="s">
        <v>31</v>
      </c>
      <c r="S177" s="579"/>
      <c r="T177" s="110"/>
      <c r="U177" s="189"/>
    </row>
    <row r="178" spans="1:21" s="111" customFormat="1" ht="44.25" customHeight="1" x14ac:dyDescent="0.35">
      <c r="A178" s="576"/>
      <c r="B178" s="600"/>
      <c r="C178" s="500" t="s">
        <v>13</v>
      </c>
      <c r="D178" s="112" t="s">
        <v>90</v>
      </c>
      <c r="E178" s="505"/>
      <c r="F178" s="505"/>
      <c r="G178" s="505"/>
      <c r="H178" s="506"/>
      <c r="I178" s="113"/>
      <c r="J178" s="500" t="s">
        <v>13</v>
      </c>
      <c r="K178" s="112" t="s">
        <v>90</v>
      </c>
      <c r="L178" s="114"/>
      <c r="M178" s="138"/>
      <c r="N178" s="138"/>
      <c r="O178" s="506"/>
      <c r="P178" s="136"/>
      <c r="Q178" s="506"/>
      <c r="R178" s="114"/>
      <c r="S178" s="579"/>
      <c r="T178" s="110"/>
    </row>
    <row r="179" spans="1:21" s="111" customFormat="1" ht="69.75" x14ac:dyDescent="0.35">
      <c r="A179" s="576"/>
      <c r="B179" s="600"/>
      <c r="C179" s="507" t="s">
        <v>14</v>
      </c>
      <c r="D179" s="510" t="s">
        <v>88</v>
      </c>
      <c r="E179" s="505" t="s">
        <v>25</v>
      </c>
      <c r="F179" s="505">
        <v>95</v>
      </c>
      <c r="G179" s="505">
        <v>97</v>
      </c>
      <c r="H179" s="509">
        <f>IF(G179/F179*100&gt;100,100,G179/F179*100)</f>
        <v>100</v>
      </c>
      <c r="I179" s="114"/>
      <c r="J179" s="594" t="s">
        <v>14</v>
      </c>
      <c r="K179" s="596" t="s">
        <v>325</v>
      </c>
      <c r="L179" s="596" t="s">
        <v>38</v>
      </c>
      <c r="M179" s="592">
        <v>174</v>
      </c>
      <c r="N179" s="592">
        <v>174</v>
      </c>
      <c r="O179" s="586">
        <f>IF(N179/M179*100&gt;110,110,N179/M179*100)</f>
        <v>100</v>
      </c>
      <c r="P179" s="588"/>
      <c r="Q179" s="590"/>
      <c r="R179" s="592"/>
      <c r="S179" s="579"/>
      <c r="T179" s="110"/>
    </row>
    <row r="180" spans="1:21" s="111" customFormat="1" ht="69.75" x14ac:dyDescent="0.35">
      <c r="A180" s="576"/>
      <c r="B180" s="600"/>
      <c r="C180" s="507" t="s">
        <v>15</v>
      </c>
      <c r="D180" s="510" t="s">
        <v>91</v>
      </c>
      <c r="E180" s="505" t="s">
        <v>92</v>
      </c>
      <c r="F180" s="505">
        <v>35</v>
      </c>
      <c r="G180" s="505">
        <v>25.8</v>
      </c>
      <c r="H180" s="509">
        <f t="shared" si="1"/>
        <v>100</v>
      </c>
      <c r="I180" s="114"/>
      <c r="J180" s="595"/>
      <c r="K180" s="597"/>
      <c r="L180" s="597"/>
      <c r="M180" s="593"/>
      <c r="N180" s="593"/>
      <c r="O180" s="587"/>
      <c r="P180" s="589"/>
      <c r="Q180" s="591"/>
      <c r="R180" s="593"/>
      <c r="S180" s="579"/>
      <c r="T180" s="110"/>
    </row>
    <row r="181" spans="1:21" s="111" customFormat="1" x14ac:dyDescent="0.35">
      <c r="A181" s="576"/>
      <c r="B181" s="600"/>
      <c r="C181" s="507"/>
      <c r="D181" s="510"/>
      <c r="E181" s="505"/>
      <c r="F181" s="505"/>
      <c r="G181" s="505"/>
      <c r="H181" s="509"/>
      <c r="I181" s="114"/>
      <c r="J181" s="118" t="s">
        <v>15</v>
      </c>
      <c r="K181" s="116" t="s">
        <v>313</v>
      </c>
      <c r="L181" s="114" t="s">
        <v>38</v>
      </c>
      <c r="M181" s="505">
        <v>2</v>
      </c>
      <c r="N181" s="505">
        <v>2</v>
      </c>
      <c r="O181" s="509">
        <f>IF(N181/M181*100&gt;110,110,N181/M181*100)</f>
        <v>100</v>
      </c>
      <c r="P181" s="136"/>
      <c r="Q181" s="506"/>
      <c r="R181" s="505"/>
      <c r="S181" s="579"/>
      <c r="T181" s="110"/>
    </row>
    <row r="182" spans="1:21" s="124" customFormat="1" ht="54.75" customHeight="1" x14ac:dyDescent="0.35">
      <c r="A182" s="576"/>
      <c r="B182" s="600"/>
      <c r="C182" s="182"/>
      <c r="D182" s="183" t="s">
        <v>6</v>
      </c>
      <c r="E182" s="184"/>
      <c r="F182" s="185"/>
      <c r="G182" s="186"/>
      <c r="H182" s="187"/>
      <c r="I182" s="187">
        <f>(H179+H180)/2</f>
        <v>100</v>
      </c>
      <c r="J182" s="184"/>
      <c r="K182" s="183" t="s">
        <v>6</v>
      </c>
      <c r="L182" s="184"/>
      <c r="M182" s="188"/>
      <c r="N182" s="188"/>
      <c r="O182" s="187"/>
      <c r="P182" s="187">
        <f>(O179+O181)/2</f>
        <v>100</v>
      </c>
      <c r="Q182" s="187">
        <f>(I182+P182)/2</f>
        <v>100</v>
      </c>
      <c r="R182" s="191" t="s">
        <v>31</v>
      </c>
      <c r="S182" s="579"/>
      <c r="T182" s="110"/>
      <c r="U182" s="189"/>
    </row>
    <row r="183" spans="1:21" s="111" customFormat="1" ht="67.5" customHeight="1" x14ac:dyDescent="0.35">
      <c r="A183" s="576">
        <v>17</v>
      </c>
      <c r="B183" s="600" t="s">
        <v>108</v>
      </c>
      <c r="C183" s="500" t="s">
        <v>12</v>
      </c>
      <c r="D183" s="112" t="s">
        <v>87</v>
      </c>
      <c r="E183" s="120"/>
      <c r="F183" s="120"/>
      <c r="G183" s="120"/>
      <c r="H183" s="506"/>
      <c r="I183" s="113"/>
      <c r="J183" s="502" t="s">
        <v>12</v>
      </c>
      <c r="K183" s="112" t="s">
        <v>87</v>
      </c>
      <c r="L183" s="114"/>
      <c r="M183" s="505"/>
      <c r="N183" s="505"/>
      <c r="O183" s="506"/>
      <c r="P183" s="136"/>
      <c r="Q183" s="506"/>
      <c r="R183" s="114"/>
      <c r="S183" s="579" t="s">
        <v>279</v>
      </c>
      <c r="T183" s="110"/>
    </row>
    <row r="184" spans="1:21" s="111" customFormat="1" ht="78.75" customHeight="1" x14ac:dyDescent="0.35">
      <c r="A184" s="576"/>
      <c r="B184" s="600"/>
      <c r="C184" s="507" t="s">
        <v>7</v>
      </c>
      <c r="D184" s="510" t="s">
        <v>88</v>
      </c>
      <c r="E184" s="505" t="s">
        <v>25</v>
      </c>
      <c r="F184" s="505">
        <v>95</v>
      </c>
      <c r="G184" s="505">
        <v>97</v>
      </c>
      <c r="H184" s="509">
        <f>IF(G184/F184*100&gt;100,100,G184/F184*100)</f>
        <v>100</v>
      </c>
      <c r="I184" s="114"/>
      <c r="J184" s="114" t="s">
        <v>7</v>
      </c>
      <c r="K184" s="116" t="s">
        <v>316</v>
      </c>
      <c r="L184" s="114" t="s">
        <v>38</v>
      </c>
      <c r="M184" s="505">
        <v>84</v>
      </c>
      <c r="N184" s="505">
        <v>84</v>
      </c>
      <c r="O184" s="509">
        <f>IF(N184/M184*100&gt;110,110,N184/M184*100)</f>
        <v>100</v>
      </c>
      <c r="P184" s="136"/>
      <c r="Q184" s="506"/>
      <c r="R184" s="505"/>
      <c r="S184" s="579"/>
      <c r="T184" s="110"/>
    </row>
    <row r="185" spans="1:21" s="111" customFormat="1" ht="78.75" customHeight="1" x14ac:dyDescent="0.35">
      <c r="A185" s="576"/>
      <c r="B185" s="600"/>
      <c r="C185" s="507"/>
      <c r="D185" s="510"/>
      <c r="E185" s="505"/>
      <c r="F185" s="505"/>
      <c r="G185" s="505"/>
      <c r="H185" s="509"/>
      <c r="I185" s="114"/>
      <c r="J185" s="114" t="s">
        <v>8</v>
      </c>
      <c r="K185" s="116" t="s">
        <v>312</v>
      </c>
      <c r="L185" s="114" t="s">
        <v>38</v>
      </c>
      <c r="M185" s="505">
        <v>212</v>
      </c>
      <c r="N185" s="505">
        <v>212</v>
      </c>
      <c r="O185" s="509">
        <f>IF(N185/M185*100&gt;110,110,N185/M185*100)</f>
        <v>100</v>
      </c>
      <c r="P185" s="136"/>
      <c r="Q185" s="506"/>
      <c r="R185" s="505"/>
      <c r="S185" s="579"/>
      <c r="T185" s="110"/>
    </row>
    <row r="186" spans="1:21" s="111" customFormat="1" ht="66.75" customHeight="1" x14ac:dyDescent="0.35">
      <c r="A186" s="576"/>
      <c r="B186" s="600"/>
      <c r="C186" s="507"/>
      <c r="D186" s="510"/>
      <c r="E186" s="505"/>
      <c r="F186" s="505"/>
      <c r="G186" s="505"/>
      <c r="H186" s="509"/>
      <c r="I186" s="114"/>
      <c r="J186" s="114" t="s">
        <v>9</v>
      </c>
      <c r="K186" s="116" t="s">
        <v>315</v>
      </c>
      <c r="L186" s="114" t="s">
        <v>38</v>
      </c>
      <c r="M186" s="505">
        <v>62</v>
      </c>
      <c r="N186" s="505">
        <v>62</v>
      </c>
      <c r="O186" s="509">
        <f>IF(N186/M186*100&gt;110,110,N186/M186*100)</f>
        <v>100</v>
      </c>
      <c r="P186" s="136"/>
      <c r="Q186" s="506"/>
      <c r="R186" s="505"/>
      <c r="S186" s="579"/>
      <c r="T186" s="110"/>
    </row>
    <row r="187" spans="1:21" s="124" customFormat="1" ht="54.75" customHeight="1" x14ac:dyDescent="0.35">
      <c r="A187" s="576"/>
      <c r="B187" s="600"/>
      <c r="C187" s="182"/>
      <c r="D187" s="183" t="s">
        <v>6</v>
      </c>
      <c r="E187" s="184"/>
      <c r="F187" s="185"/>
      <c r="G187" s="186"/>
      <c r="H187" s="187"/>
      <c r="I187" s="187">
        <f>H184</f>
        <v>100</v>
      </c>
      <c r="J187" s="184"/>
      <c r="K187" s="183" t="s">
        <v>6</v>
      </c>
      <c r="L187" s="184"/>
      <c r="M187" s="188"/>
      <c r="N187" s="188"/>
      <c r="O187" s="187"/>
      <c r="P187" s="187">
        <f>(O186+O184+O185)/3</f>
        <v>100</v>
      </c>
      <c r="Q187" s="187">
        <f>(I187+P187)/2</f>
        <v>100</v>
      </c>
      <c r="R187" s="191" t="s">
        <v>31</v>
      </c>
      <c r="S187" s="579"/>
      <c r="T187" s="110"/>
      <c r="U187" s="189"/>
    </row>
    <row r="188" spans="1:21" s="111" customFormat="1" ht="51" customHeight="1" x14ac:dyDescent="0.35">
      <c r="A188" s="576"/>
      <c r="B188" s="600"/>
      <c r="C188" s="500" t="s">
        <v>13</v>
      </c>
      <c r="D188" s="112" t="s">
        <v>90</v>
      </c>
      <c r="E188" s="505"/>
      <c r="F188" s="505"/>
      <c r="G188" s="505"/>
      <c r="H188" s="506"/>
      <c r="I188" s="113"/>
      <c r="J188" s="500" t="s">
        <v>13</v>
      </c>
      <c r="K188" s="112" t="s">
        <v>90</v>
      </c>
      <c r="L188" s="114"/>
      <c r="M188" s="138"/>
      <c r="N188" s="138"/>
      <c r="O188" s="506"/>
      <c r="P188" s="136"/>
      <c r="Q188" s="506"/>
      <c r="R188" s="114"/>
      <c r="S188" s="579"/>
      <c r="T188" s="110"/>
    </row>
    <row r="189" spans="1:21" s="111" customFormat="1" ht="69.75" x14ac:dyDescent="0.35">
      <c r="A189" s="576"/>
      <c r="B189" s="600"/>
      <c r="C189" s="507" t="s">
        <v>14</v>
      </c>
      <c r="D189" s="510" t="s">
        <v>88</v>
      </c>
      <c r="E189" s="505" t="s">
        <v>25</v>
      </c>
      <c r="F189" s="505">
        <v>95</v>
      </c>
      <c r="G189" s="505">
        <v>97</v>
      </c>
      <c r="H189" s="509">
        <f>IF(G189/F189*100&gt;100,100,G189/F189*100)</f>
        <v>100</v>
      </c>
      <c r="I189" s="114"/>
      <c r="J189" s="594" t="s">
        <v>14</v>
      </c>
      <c r="K189" s="596" t="s">
        <v>320</v>
      </c>
      <c r="L189" s="596" t="s">
        <v>38</v>
      </c>
      <c r="M189" s="592">
        <v>345</v>
      </c>
      <c r="N189" s="592">
        <v>345</v>
      </c>
      <c r="O189" s="586">
        <f>IF(N189/M189*100&gt;110,110,N189/M189*100)</f>
        <v>100</v>
      </c>
      <c r="P189" s="588"/>
      <c r="Q189" s="590"/>
      <c r="R189" s="592"/>
      <c r="S189" s="579"/>
      <c r="T189" s="110"/>
    </row>
    <row r="190" spans="1:21" s="111" customFormat="1" ht="69.75" x14ac:dyDescent="0.35">
      <c r="A190" s="576"/>
      <c r="B190" s="600"/>
      <c r="C190" s="507" t="s">
        <v>15</v>
      </c>
      <c r="D190" s="510" t="s">
        <v>91</v>
      </c>
      <c r="E190" s="505" t="s">
        <v>92</v>
      </c>
      <c r="F190" s="505">
        <v>35</v>
      </c>
      <c r="G190" s="505">
        <v>32</v>
      </c>
      <c r="H190" s="509">
        <f t="shared" si="1"/>
        <v>100</v>
      </c>
      <c r="I190" s="114"/>
      <c r="J190" s="595"/>
      <c r="K190" s="597"/>
      <c r="L190" s="597"/>
      <c r="M190" s="593"/>
      <c r="N190" s="593"/>
      <c r="O190" s="587"/>
      <c r="P190" s="589"/>
      <c r="Q190" s="591"/>
      <c r="R190" s="593"/>
      <c r="S190" s="579"/>
      <c r="T190" s="110"/>
    </row>
    <row r="191" spans="1:21" s="111" customFormat="1" x14ac:dyDescent="0.35">
      <c r="A191" s="576"/>
      <c r="B191" s="600"/>
      <c r="C191" s="507"/>
      <c r="D191" s="510"/>
      <c r="E191" s="505"/>
      <c r="F191" s="505"/>
      <c r="G191" s="505"/>
      <c r="H191" s="509"/>
      <c r="I191" s="114"/>
      <c r="J191" s="118" t="s">
        <v>15</v>
      </c>
      <c r="K191" s="116" t="s">
        <v>313</v>
      </c>
      <c r="L191" s="114" t="s">
        <v>38</v>
      </c>
      <c r="M191" s="505">
        <v>13</v>
      </c>
      <c r="N191" s="505">
        <v>13</v>
      </c>
      <c r="O191" s="509">
        <f>IF(N191/M191*100&gt;110,110,N191/M191*100)</f>
        <v>100</v>
      </c>
      <c r="P191" s="136"/>
      <c r="Q191" s="506"/>
      <c r="R191" s="505"/>
      <c r="S191" s="579"/>
      <c r="T191" s="110"/>
    </row>
    <row r="192" spans="1:21" s="124" customFormat="1" ht="54.75" customHeight="1" x14ac:dyDescent="0.35">
      <c r="A192" s="576"/>
      <c r="B192" s="600"/>
      <c r="C192" s="182"/>
      <c r="D192" s="183" t="s">
        <v>6</v>
      </c>
      <c r="E192" s="184"/>
      <c r="F192" s="185"/>
      <c r="G192" s="186"/>
      <c r="H192" s="187"/>
      <c r="I192" s="187">
        <f>(H189+H190)/2</f>
        <v>100</v>
      </c>
      <c r="J192" s="184"/>
      <c r="K192" s="183" t="s">
        <v>6</v>
      </c>
      <c r="L192" s="184"/>
      <c r="M192" s="188"/>
      <c r="N192" s="188"/>
      <c r="O192" s="187"/>
      <c r="P192" s="187">
        <f>(O191+O189+O190)/2</f>
        <v>100</v>
      </c>
      <c r="Q192" s="187">
        <f>(I192+P192)/2</f>
        <v>100</v>
      </c>
      <c r="R192" s="191" t="s">
        <v>31</v>
      </c>
      <c r="S192" s="579"/>
      <c r="T192" s="110"/>
      <c r="U192" s="189"/>
    </row>
    <row r="193" spans="1:21" s="111" customFormat="1" ht="87.75" customHeight="1" x14ac:dyDescent="0.35">
      <c r="A193" s="576">
        <v>18</v>
      </c>
      <c r="B193" s="600" t="s">
        <v>484</v>
      </c>
      <c r="C193" s="500" t="s">
        <v>12</v>
      </c>
      <c r="D193" s="112" t="s">
        <v>87</v>
      </c>
      <c r="E193" s="120"/>
      <c r="F193" s="120"/>
      <c r="G193" s="120"/>
      <c r="H193" s="506"/>
      <c r="I193" s="113"/>
      <c r="J193" s="502" t="s">
        <v>12</v>
      </c>
      <c r="K193" s="112" t="s">
        <v>87</v>
      </c>
      <c r="L193" s="114"/>
      <c r="M193" s="505"/>
      <c r="N193" s="505"/>
      <c r="O193" s="506"/>
      <c r="P193" s="136"/>
      <c r="Q193" s="506"/>
      <c r="R193" s="114"/>
      <c r="S193" s="579" t="s">
        <v>279</v>
      </c>
      <c r="T193" s="110"/>
    </row>
    <row r="194" spans="1:21" s="111" customFormat="1" ht="75.75" customHeight="1" x14ac:dyDescent="0.35">
      <c r="A194" s="576"/>
      <c r="B194" s="600"/>
      <c r="C194" s="507" t="s">
        <v>7</v>
      </c>
      <c r="D194" s="510" t="s">
        <v>88</v>
      </c>
      <c r="E194" s="505" t="s">
        <v>25</v>
      </c>
      <c r="F194" s="505">
        <v>95</v>
      </c>
      <c r="G194" s="505">
        <v>95</v>
      </c>
      <c r="H194" s="509">
        <f>IF(G194/F194*100&gt;100,100,G194/F194*100)</f>
        <v>100</v>
      </c>
      <c r="I194" s="114"/>
      <c r="J194" s="114" t="s">
        <v>7</v>
      </c>
      <c r="K194" s="116" t="s">
        <v>316</v>
      </c>
      <c r="L194" s="114" t="s">
        <v>38</v>
      </c>
      <c r="M194" s="505">
        <v>54</v>
      </c>
      <c r="N194" s="505">
        <v>54</v>
      </c>
      <c r="O194" s="509">
        <f>IF(N194/M194*100&gt;110,110,N194/M194*100)</f>
        <v>100</v>
      </c>
      <c r="P194" s="136"/>
      <c r="Q194" s="506"/>
      <c r="R194" s="505"/>
      <c r="S194" s="579"/>
      <c r="T194" s="110"/>
    </row>
    <row r="195" spans="1:21" s="111" customFormat="1" ht="75.75" customHeight="1" x14ac:dyDescent="0.35">
      <c r="A195" s="576"/>
      <c r="B195" s="600"/>
      <c r="C195" s="507"/>
      <c r="D195" s="510"/>
      <c r="E195" s="505"/>
      <c r="F195" s="505"/>
      <c r="G195" s="505"/>
      <c r="H195" s="509"/>
      <c r="I195" s="114"/>
      <c r="J195" s="114" t="s">
        <v>8</v>
      </c>
      <c r="K195" s="116" t="s">
        <v>312</v>
      </c>
      <c r="L195" s="114" t="s">
        <v>38</v>
      </c>
      <c r="M195" s="505">
        <v>137</v>
      </c>
      <c r="N195" s="505">
        <v>137</v>
      </c>
      <c r="O195" s="509">
        <f>IF(N195/M195*100&gt;110,110,N195/M195*100)</f>
        <v>100</v>
      </c>
      <c r="P195" s="136"/>
      <c r="Q195" s="506"/>
      <c r="R195" s="505"/>
      <c r="S195" s="579"/>
      <c r="T195" s="110"/>
    </row>
    <row r="196" spans="1:21" s="111" customFormat="1" ht="48" customHeight="1" x14ac:dyDescent="0.35">
      <c r="A196" s="576"/>
      <c r="B196" s="600"/>
      <c r="C196" s="507"/>
      <c r="D196" s="510"/>
      <c r="E196" s="505"/>
      <c r="F196" s="505"/>
      <c r="G196" s="505"/>
      <c r="H196" s="509"/>
      <c r="I196" s="114"/>
      <c r="J196" s="114" t="s">
        <v>9</v>
      </c>
      <c r="K196" s="116" t="s">
        <v>321</v>
      </c>
      <c r="L196" s="114" t="s">
        <v>38</v>
      </c>
      <c r="M196" s="505">
        <v>20</v>
      </c>
      <c r="N196" s="505">
        <v>20</v>
      </c>
      <c r="O196" s="509">
        <f>IF(N196/M196*100&gt;110,110,N196/M196*100)</f>
        <v>100</v>
      </c>
      <c r="P196" s="136"/>
      <c r="Q196" s="506"/>
      <c r="R196" s="505"/>
      <c r="S196" s="579"/>
      <c r="T196" s="110"/>
    </row>
    <row r="197" spans="1:21" s="124" customFormat="1" ht="54.75" customHeight="1" x14ac:dyDescent="0.35">
      <c r="A197" s="576"/>
      <c r="B197" s="600"/>
      <c r="C197" s="182"/>
      <c r="D197" s="183" t="s">
        <v>6</v>
      </c>
      <c r="E197" s="184"/>
      <c r="F197" s="185"/>
      <c r="G197" s="186"/>
      <c r="H197" s="187"/>
      <c r="I197" s="187">
        <f>H194</f>
        <v>100</v>
      </c>
      <c r="J197" s="184"/>
      <c r="K197" s="183" t="s">
        <v>6</v>
      </c>
      <c r="L197" s="184"/>
      <c r="M197" s="188"/>
      <c r="N197" s="188"/>
      <c r="O197" s="187"/>
      <c r="P197" s="187">
        <f>(O196+O194+O195)/3</f>
        <v>100</v>
      </c>
      <c r="Q197" s="187">
        <f>(I197+P197)/2</f>
        <v>100</v>
      </c>
      <c r="R197" s="191" t="s">
        <v>31</v>
      </c>
      <c r="S197" s="579"/>
      <c r="T197" s="110"/>
      <c r="U197" s="189"/>
    </row>
    <row r="198" spans="1:21" s="111" customFormat="1" ht="42" customHeight="1" x14ac:dyDescent="0.35">
      <c r="A198" s="576"/>
      <c r="B198" s="600"/>
      <c r="C198" s="500" t="s">
        <v>13</v>
      </c>
      <c r="D198" s="112" t="s">
        <v>90</v>
      </c>
      <c r="E198" s="505"/>
      <c r="F198" s="505"/>
      <c r="G198" s="505"/>
      <c r="H198" s="506"/>
      <c r="I198" s="113"/>
      <c r="J198" s="500" t="s">
        <v>13</v>
      </c>
      <c r="K198" s="112" t="s">
        <v>90</v>
      </c>
      <c r="L198" s="114"/>
      <c r="M198" s="138"/>
      <c r="N198" s="138"/>
      <c r="O198" s="506"/>
      <c r="P198" s="136"/>
      <c r="Q198" s="506"/>
      <c r="R198" s="114"/>
      <c r="S198" s="579"/>
      <c r="T198" s="110"/>
    </row>
    <row r="199" spans="1:21" s="111" customFormat="1" ht="69.75" x14ac:dyDescent="0.35">
      <c r="A199" s="576"/>
      <c r="B199" s="600"/>
      <c r="C199" s="507" t="s">
        <v>14</v>
      </c>
      <c r="D199" s="510" t="s">
        <v>88</v>
      </c>
      <c r="E199" s="505" t="s">
        <v>25</v>
      </c>
      <c r="F199" s="505">
        <v>95</v>
      </c>
      <c r="G199" s="505">
        <v>99</v>
      </c>
      <c r="H199" s="509">
        <f>IF(G199/F199*100&gt;100,100,G199/F199*100)</f>
        <v>100</v>
      </c>
      <c r="I199" s="114"/>
      <c r="J199" s="594" t="s">
        <v>14</v>
      </c>
      <c r="K199" s="601" t="s">
        <v>320</v>
      </c>
      <c r="L199" s="596" t="s">
        <v>38</v>
      </c>
      <c r="M199" s="592">
        <v>210</v>
      </c>
      <c r="N199" s="592">
        <v>210</v>
      </c>
      <c r="O199" s="586">
        <f>IF(N199/M199*100&gt;110,110,N199/M199*100)</f>
        <v>100</v>
      </c>
      <c r="P199" s="588"/>
      <c r="Q199" s="590"/>
      <c r="R199" s="592"/>
      <c r="S199" s="579"/>
      <c r="T199" s="110"/>
    </row>
    <row r="200" spans="1:21" s="111" customFormat="1" ht="69.75" x14ac:dyDescent="0.35">
      <c r="A200" s="576"/>
      <c r="B200" s="600"/>
      <c r="C200" s="507" t="s">
        <v>15</v>
      </c>
      <c r="D200" s="510" t="s">
        <v>91</v>
      </c>
      <c r="E200" s="505" t="s">
        <v>92</v>
      </c>
      <c r="F200" s="505">
        <v>35</v>
      </c>
      <c r="G200" s="505">
        <v>33</v>
      </c>
      <c r="H200" s="509">
        <f t="shared" ref="H200:H250" si="2">IF(F200/G200*100&gt;100,100,F200/G200*100)</f>
        <v>100</v>
      </c>
      <c r="I200" s="114"/>
      <c r="J200" s="595"/>
      <c r="K200" s="602"/>
      <c r="L200" s="597"/>
      <c r="M200" s="593"/>
      <c r="N200" s="593"/>
      <c r="O200" s="587"/>
      <c r="P200" s="589"/>
      <c r="Q200" s="591"/>
      <c r="R200" s="593"/>
      <c r="S200" s="579"/>
      <c r="T200" s="110"/>
    </row>
    <row r="201" spans="1:21" s="111" customFormat="1" x14ac:dyDescent="0.35">
      <c r="A201" s="576"/>
      <c r="B201" s="600"/>
      <c r="C201" s="507"/>
      <c r="D201" s="510"/>
      <c r="E201" s="505"/>
      <c r="F201" s="505"/>
      <c r="G201" s="505"/>
      <c r="H201" s="509"/>
      <c r="I201" s="114"/>
      <c r="J201" s="118" t="s">
        <v>15</v>
      </c>
      <c r="K201" s="116" t="s">
        <v>313</v>
      </c>
      <c r="L201" s="114" t="s">
        <v>38</v>
      </c>
      <c r="M201" s="505">
        <v>1</v>
      </c>
      <c r="N201" s="505">
        <v>1</v>
      </c>
      <c r="O201" s="509">
        <f>IF(N201/M201*100&gt;110,110,N201/M201*100)</f>
        <v>100</v>
      </c>
      <c r="P201" s="136"/>
      <c r="Q201" s="506"/>
      <c r="R201" s="505"/>
      <c r="S201" s="579"/>
      <c r="T201" s="110"/>
    </row>
    <row r="202" spans="1:21" s="124" customFormat="1" ht="54.75" customHeight="1" x14ac:dyDescent="0.35">
      <c r="A202" s="576"/>
      <c r="B202" s="600"/>
      <c r="C202" s="182"/>
      <c r="D202" s="183" t="s">
        <v>6</v>
      </c>
      <c r="E202" s="184"/>
      <c r="F202" s="185"/>
      <c r="G202" s="186"/>
      <c r="H202" s="187"/>
      <c r="I202" s="187">
        <f>(H199+H200)/2</f>
        <v>100</v>
      </c>
      <c r="J202" s="184"/>
      <c r="K202" s="183" t="s">
        <v>6</v>
      </c>
      <c r="L202" s="184"/>
      <c r="M202" s="188"/>
      <c r="N202" s="188"/>
      <c r="O202" s="187"/>
      <c r="P202" s="187">
        <f>(O201+O199+O200)/2</f>
        <v>100</v>
      </c>
      <c r="Q202" s="187">
        <f>(I202+P202)/2</f>
        <v>100</v>
      </c>
      <c r="R202" s="191" t="s">
        <v>31</v>
      </c>
      <c r="S202" s="579"/>
      <c r="T202" s="110"/>
      <c r="U202" s="189"/>
    </row>
    <row r="203" spans="1:21" s="111" customFormat="1" ht="86.25" customHeight="1" x14ac:dyDescent="0.35">
      <c r="A203" s="576">
        <v>19</v>
      </c>
      <c r="B203" s="600" t="s">
        <v>109</v>
      </c>
      <c r="C203" s="500" t="s">
        <v>12</v>
      </c>
      <c r="D203" s="112" t="s">
        <v>87</v>
      </c>
      <c r="E203" s="120"/>
      <c r="F203" s="120"/>
      <c r="G203" s="120"/>
      <c r="H203" s="506"/>
      <c r="I203" s="113"/>
      <c r="J203" s="502" t="s">
        <v>12</v>
      </c>
      <c r="K203" s="112" t="s">
        <v>87</v>
      </c>
      <c r="L203" s="114"/>
      <c r="M203" s="505"/>
      <c r="N203" s="505"/>
      <c r="O203" s="506"/>
      <c r="P203" s="136"/>
      <c r="Q203" s="506"/>
      <c r="R203" s="507"/>
      <c r="S203" s="579" t="s">
        <v>279</v>
      </c>
      <c r="T203" s="110"/>
    </row>
    <row r="204" spans="1:21" s="111" customFormat="1" ht="69.75" x14ac:dyDescent="0.35">
      <c r="A204" s="576"/>
      <c r="B204" s="600"/>
      <c r="C204" s="507" t="s">
        <v>7</v>
      </c>
      <c r="D204" s="510" t="s">
        <v>88</v>
      </c>
      <c r="E204" s="505" t="s">
        <v>25</v>
      </c>
      <c r="F204" s="505">
        <v>95</v>
      </c>
      <c r="G204" s="505">
        <v>99.07</v>
      </c>
      <c r="H204" s="509">
        <f>IF(G204/F204*100&gt;100,100,G204/F204*100)</f>
        <v>100</v>
      </c>
      <c r="I204" s="114"/>
      <c r="J204" s="114" t="s">
        <v>7</v>
      </c>
      <c r="K204" s="116" t="s">
        <v>316</v>
      </c>
      <c r="L204" s="114" t="s">
        <v>38</v>
      </c>
      <c r="M204" s="505">
        <v>54</v>
      </c>
      <c r="N204" s="505">
        <v>54</v>
      </c>
      <c r="O204" s="509">
        <f>IF(N204/M204*100&gt;110,110,N204/M204*100)</f>
        <v>100</v>
      </c>
      <c r="P204" s="136"/>
      <c r="Q204" s="506"/>
      <c r="R204" s="505"/>
      <c r="S204" s="579"/>
      <c r="T204" s="110"/>
    </row>
    <row r="205" spans="1:21" s="111" customFormat="1" x14ac:dyDescent="0.35">
      <c r="A205" s="576"/>
      <c r="B205" s="600"/>
      <c r="C205" s="507"/>
      <c r="D205" s="510"/>
      <c r="E205" s="505"/>
      <c r="F205" s="505"/>
      <c r="G205" s="505"/>
      <c r="H205" s="509"/>
      <c r="I205" s="114"/>
      <c r="J205" s="114" t="s">
        <v>8</v>
      </c>
      <c r="K205" s="116" t="s">
        <v>321</v>
      </c>
      <c r="L205" s="114" t="s">
        <v>38</v>
      </c>
      <c r="M205" s="505">
        <v>25</v>
      </c>
      <c r="N205" s="505">
        <v>25</v>
      </c>
      <c r="O205" s="509">
        <f>IF(N205/M205*100&gt;110,110,N205/M205*100)</f>
        <v>100</v>
      </c>
      <c r="P205" s="136"/>
      <c r="Q205" s="506"/>
      <c r="R205" s="505"/>
      <c r="S205" s="579"/>
      <c r="T205" s="110"/>
    </row>
    <row r="206" spans="1:21" s="111" customFormat="1" ht="69.75" x14ac:dyDescent="0.35">
      <c r="A206" s="576"/>
      <c r="B206" s="600"/>
      <c r="C206" s="507"/>
      <c r="D206" s="510"/>
      <c r="E206" s="505"/>
      <c r="F206" s="505"/>
      <c r="G206" s="505"/>
      <c r="H206" s="509"/>
      <c r="I206" s="114"/>
      <c r="J206" s="114" t="s">
        <v>9</v>
      </c>
      <c r="K206" s="116" t="s">
        <v>312</v>
      </c>
      <c r="L206" s="114" t="s">
        <v>38</v>
      </c>
      <c r="M206" s="505">
        <v>188</v>
      </c>
      <c r="N206" s="505">
        <v>188</v>
      </c>
      <c r="O206" s="509">
        <f>IF(N206/M206*100&gt;110,110,N206/M206*100)</f>
        <v>100</v>
      </c>
      <c r="P206" s="136"/>
      <c r="Q206" s="506"/>
      <c r="R206" s="505"/>
      <c r="S206" s="579"/>
      <c r="T206" s="110"/>
    </row>
    <row r="207" spans="1:21" s="124" customFormat="1" ht="39.75" customHeight="1" x14ac:dyDescent="0.35">
      <c r="A207" s="576"/>
      <c r="B207" s="600"/>
      <c r="C207" s="182"/>
      <c r="D207" s="183" t="s">
        <v>6</v>
      </c>
      <c r="E207" s="184"/>
      <c r="F207" s="185"/>
      <c r="G207" s="186"/>
      <c r="H207" s="187"/>
      <c r="I207" s="187">
        <f>H204</f>
        <v>100</v>
      </c>
      <c r="J207" s="184"/>
      <c r="K207" s="183" t="s">
        <v>6</v>
      </c>
      <c r="L207" s="184"/>
      <c r="M207" s="188"/>
      <c r="N207" s="188"/>
      <c r="O207" s="187"/>
      <c r="P207" s="187">
        <f>(O206+O204)/2</f>
        <v>100</v>
      </c>
      <c r="Q207" s="187">
        <f>(I207+P207)/2</f>
        <v>100</v>
      </c>
      <c r="R207" s="191" t="s">
        <v>31</v>
      </c>
      <c r="S207" s="579"/>
      <c r="T207" s="110"/>
      <c r="U207" s="189"/>
    </row>
    <row r="208" spans="1:21" s="111" customFormat="1" ht="44.25" customHeight="1" x14ac:dyDescent="0.35">
      <c r="A208" s="576"/>
      <c r="B208" s="600"/>
      <c r="C208" s="500" t="s">
        <v>13</v>
      </c>
      <c r="D208" s="112" t="s">
        <v>90</v>
      </c>
      <c r="E208" s="505"/>
      <c r="F208" s="505"/>
      <c r="G208" s="505"/>
      <c r="H208" s="506"/>
      <c r="I208" s="113"/>
      <c r="J208" s="500" t="s">
        <v>13</v>
      </c>
      <c r="K208" s="112" t="s">
        <v>90</v>
      </c>
      <c r="L208" s="114"/>
      <c r="M208" s="138"/>
      <c r="N208" s="138"/>
      <c r="O208" s="506"/>
      <c r="P208" s="136"/>
      <c r="Q208" s="506"/>
      <c r="R208" s="507"/>
      <c r="S208" s="579"/>
      <c r="T208" s="110"/>
    </row>
    <row r="209" spans="1:21" s="111" customFormat="1" ht="69.75" x14ac:dyDescent="0.35">
      <c r="A209" s="576"/>
      <c r="B209" s="600"/>
      <c r="C209" s="507" t="s">
        <v>14</v>
      </c>
      <c r="D209" s="510" t="s">
        <v>88</v>
      </c>
      <c r="E209" s="505" t="s">
        <v>25</v>
      </c>
      <c r="F209" s="505">
        <v>95</v>
      </c>
      <c r="G209" s="505">
        <v>98.45</v>
      </c>
      <c r="H209" s="509">
        <f>IF(G209/F209*100&gt;100,100,G209/F209*100)</f>
        <v>100</v>
      </c>
      <c r="I209" s="114"/>
      <c r="J209" s="594" t="s">
        <v>14</v>
      </c>
      <c r="K209" s="596" t="s">
        <v>325</v>
      </c>
      <c r="L209" s="596" t="s">
        <v>38</v>
      </c>
      <c r="M209" s="592">
        <v>267</v>
      </c>
      <c r="N209" s="592">
        <v>267</v>
      </c>
      <c r="O209" s="586">
        <f>IF(N209/M209*100&gt;110,110,N209/M209*100)</f>
        <v>100</v>
      </c>
      <c r="P209" s="588"/>
      <c r="Q209" s="590"/>
      <c r="R209" s="592"/>
      <c r="S209" s="579"/>
      <c r="T209" s="110"/>
    </row>
    <row r="210" spans="1:21" s="111" customFormat="1" ht="69.75" x14ac:dyDescent="0.35">
      <c r="A210" s="576"/>
      <c r="B210" s="600"/>
      <c r="C210" s="507" t="s">
        <v>15</v>
      </c>
      <c r="D210" s="510" t="s">
        <v>91</v>
      </c>
      <c r="E210" s="505" t="s">
        <v>92</v>
      </c>
      <c r="F210" s="505">
        <v>35</v>
      </c>
      <c r="G210" s="505">
        <v>34.6</v>
      </c>
      <c r="H210" s="509">
        <f t="shared" si="2"/>
        <v>100</v>
      </c>
      <c r="I210" s="114"/>
      <c r="J210" s="595"/>
      <c r="K210" s="597"/>
      <c r="L210" s="597"/>
      <c r="M210" s="593"/>
      <c r="N210" s="593"/>
      <c r="O210" s="587"/>
      <c r="P210" s="589"/>
      <c r="Q210" s="591"/>
      <c r="R210" s="593"/>
      <c r="S210" s="579"/>
      <c r="T210" s="110"/>
    </row>
    <row r="211" spans="1:21" s="124" customFormat="1" ht="54.75" customHeight="1" x14ac:dyDescent="0.35">
      <c r="A211" s="576"/>
      <c r="B211" s="600"/>
      <c r="C211" s="182"/>
      <c r="D211" s="183" t="s">
        <v>6</v>
      </c>
      <c r="E211" s="184"/>
      <c r="F211" s="185"/>
      <c r="G211" s="186"/>
      <c r="H211" s="187"/>
      <c r="I211" s="187">
        <f>(H209+H210)/2</f>
        <v>100</v>
      </c>
      <c r="J211" s="184"/>
      <c r="K211" s="183" t="s">
        <v>6</v>
      </c>
      <c r="L211" s="184"/>
      <c r="M211" s="188"/>
      <c r="N211" s="188"/>
      <c r="O211" s="187"/>
      <c r="P211" s="187">
        <f>(O209)/1</f>
        <v>100</v>
      </c>
      <c r="Q211" s="187">
        <f>(I211+P211)/2</f>
        <v>100</v>
      </c>
      <c r="R211" s="191" t="s">
        <v>31</v>
      </c>
      <c r="S211" s="579"/>
      <c r="T211" s="110"/>
      <c r="U211" s="189"/>
    </row>
    <row r="212" spans="1:21" s="111" customFormat="1" ht="77.25" customHeight="1" x14ac:dyDescent="0.35">
      <c r="A212" s="576">
        <v>20</v>
      </c>
      <c r="B212" s="600" t="s">
        <v>110</v>
      </c>
      <c r="C212" s="500" t="s">
        <v>12</v>
      </c>
      <c r="D212" s="112" t="s">
        <v>87</v>
      </c>
      <c r="E212" s="120"/>
      <c r="F212" s="120"/>
      <c r="G212" s="120"/>
      <c r="H212" s="506"/>
      <c r="I212" s="113"/>
      <c r="J212" s="502" t="s">
        <v>12</v>
      </c>
      <c r="K212" s="112" t="s">
        <v>87</v>
      </c>
      <c r="L212" s="114"/>
      <c r="M212" s="505"/>
      <c r="N212" s="505"/>
      <c r="O212" s="506"/>
      <c r="P212" s="136"/>
      <c r="Q212" s="506"/>
      <c r="R212" s="114"/>
      <c r="S212" s="579" t="s">
        <v>279</v>
      </c>
      <c r="T212" s="110"/>
    </row>
    <row r="213" spans="1:21" s="111" customFormat="1" ht="69.75" x14ac:dyDescent="0.35">
      <c r="A213" s="576"/>
      <c r="B213" s="600"/>
      <c r="C213" s="507" t="s">
        <v>7</v>
      </c>
      <c r="D213" s="510" t="s">
        <v>88</v>
      </c>
      <c r="E213" s="505" t="s">
        <v>25</v>
      </c>
      <c r="F213" s="505">
        <v>95</v>
      </c>
      <c r="G213" s="505">
        <v>99</v>
      </c>
      <c r="H213" s="509">
        <f>IF(G213/F213*100&gt;100,100,G213/F213*100)</f>
        <v>100</v>
      </c>
      <c r="I213" s="114"/>
      <c r="J213" s="114" t="s">
        <v>7</v>
      </c>
      <c r="K213" s="116" t="s">
        <v>316</v>
      </c>
      <c r="L213" s="114" t="s">
        <v>38</v>
      </c>
      <c r="M213" s="505">
        <v>109</v>
      </c>
      <c r="N213" s="505">
        <v>109</v>
      </c>
      <c r="O213" s="509">
        <f>IF(N213/M213*100&gt;110,110,N213/M213*100)</f>
        <v>100</v>
      </c>
      <c r="P213" s="136"/>
      <c r="Q213" s="506"/>
      <c r="R213" s="505"/>
      <c r="S213" s="579"/>
      <c r="T213" s="110"/>
    </row>
    <row r="214" spans="1:21" s="111" customFormat="1" ht="69.75" x14ac:dyDescent="0.35">
      <c r="A214" s="576"/>
      <c r="B214" s="600"/>
      <c r="C214" s="507"/>
      <c r="D214" s="510"/>
      <c r="E214" s="505"/>
      <c r="F214" s="505"/>
      <c r="G214" s="505"/>
      <c r="H214" s="509"/>
      <c r="I214" s="114"/>
      <c r="J214" s="114" t="s">
        <v>8</v>
      </c>
      <c r="K214" s="116" t="s">
        <v>312</v>
      </c>
      <c r="L214" s="114" t="s">
        <v>38</v>
      </c>
      <c r="M214" s="505">
        <v>240</v>
      </c>
      <c r="N214" s="505">
        <v>240</v>
      </c>
      <c r="O214" s="509">
        <f>IF(N214/M214*100&gt;110,110,N214/M214*100)</f>
        <v>100</v>
      </c>
      <c r="P214" s="136"/>
      <c r="Q214" s="506"/>
      <c r="R214" s="505"/>
      <c r="S214" s="579"/>
      <c r="T214" s="110"/>
    </row>
    <row r="215" spans="1:21" s="111" customFormat="1" x14ac:dyDescent="0.35">
      <c r="A215" s="576"/>
      <c r="B215" s="600"/>
      <c r="C215" s="507"/>
      <c r="D215" s="510"/>
      <c r="E215" s="505"/>
      <c r="F215" s="505"/>
      <c r="G215" s="505"/>
      <c r="H215" s="509"/>
      <c r="I215" s="114"/>
      <c r="J215" s="114" t="s">
        <v>9</v>
      </c>
      <c r="K215" s="116" t="s">
        <v>321</v>
      </c>
      <c r="L215" s="114" t="s">
        <v>38</v>
      </c>
      <c r="M215" s="505">
        <v>18</v>
      </c>
      <c r="N215" s="505">
        <v>18</v>
      </c>
      <c r="O215" s="509">
        <f>IF(N215/M215*100&gt;110,110,N215/M215*100)</f>
        <v>100</v>
      </c>
      <c r="P215" s="136"/>
      <c r="Q215" s="506"/>
      <c r="R215" s="505"/>
      <c r="S215" s="579"/>
      <c r="T215" s="110"/>
    </row>
    <row r="216" spans="1:21" s="124" customFormat="1" ht="54.75" customHeight="1" x14ac:dyDescent="0.35">
      <c r="A216" s="576"/>
      <c r="B216" s="600"/>
      <c r="C216" s="182"/>
      <c r="D216" s="183" t="s">
        <v>6</v>
      </c>
      <c r="E216" s="184"/>
      <c r="F216" s="185"/>
      <c r="G216" s="186"/>
      <c r="H216" s="187"/>
      <c r="I216" s="187">
        <f>H213</f>
        <v>100</v>
      </c>
      <c r="J216" s="184"/>
      <c r="K216" s="183" t="s">
        <v>6</v>
      </c>
      <c r="L216" s="184"/>
      <c r="M216" s="188"/>
      <c r="N216" s="188"/>
      <c r="O216" s="187"/>
      <c r="P216" s="187">
        <f>(O215+O213+O214)/3</f>
        <v>100</v>
      </c>
      <c r="Q216" s="187">
        <f>(I216+P216)/2</f>
        <v>100</v>
      </c>
      <c r="R216" s="191" t="s">
        <v>31</v>
      </c>
      <c r="S216" s="579"/>
      <c r="T216" s="110"/>
      <c r="U216" s="189"/>
    </row>
    <row r="217" spans="1:21" s="111" customFormat="1" ht="44.25" customHeight="1" x14ac:dyDescent="0.35">
      <c r="A217" s="576"/>
      <c r="B217" s="600"/>
      <c r="C217" s="500" t="s">
        <v>13</v>
      </c>
      <c r="D217" s="112" t="s">
        <v>90</v>
      </c>
      <c r="E217" s="505"/>
      <c r="F217" s="505"/>
      <c r="G217" s="505"/>
      <c r="H217" s="506"/>
      <c r="I217" s="113"/>
      <c r="J217" s="500" t="s">
        <v>13</v>
      </c>
      <c r="K217" s="112" t="s">
        <v>90</v>
      </c>
      <c r="L217" s="114"/>
      <c r="M217" s="138"/>
      <c r="N217" s="138"/>
      <c r="O217" s="506"/>
      <c r="P217" s="136"/>
      <c r="Q217" s="506"/>
      <c r="R217" s="114"/>
      <c r="S217" s="579"/>
      <c r="T217" s="110"/>
    </row>
    <row r="218" spans="1:21" s="111" customFormat="1" ht="69.75" x14ac:dyDescent="0.35">
      <c r="A218" s="576"/>
      <c r="B218" s="600"/>
      <c r="C218" s="507" t="s">
        <v>14</v>
      </c>
      <c r="D218" s="510" t="s">
        <v>88</v>
      </c>
      <c r="E218" s="505" t="s">
        <v>25</v>
      </c>
      <c r="F218" s="505">
        <v>95</v>
      </c>
      <c r="G218" s="505">
        <v>99</v>
      </c>
      <c r="H218" s="509">
        <f>IF(G218/F218*100&gt;100,100,G218/F218*100)</f>
        <v>100</v>
      </c>
      <c r="I218" s="114"/>
      <c r="J218" s="594" t="s">
        <v>14</v>
      </c>
      <c r="K218" s="596" t="s">
        <v>317</v>
      </c>
      <c r="L218" s="596" t="s">
        <v>38</v>
      </c>
      <c r="M218" s="592">
        <v>320</v>
      </c>
      <c r="N218" s="592">
        <v>320</v>
      </c>
      <c r="O218" s="586">
        <f t="shared" ref="O218:O223" si="3">IF(N218/M218*100&gt;110,110,N218/M218*100)</f>
        <v>100</v>
      </c>
      <c r="P218" s="588"/>
      <c r="Q218" s="590"/>
      <c r="R218" s="592"/>
      <c r="S218" s="579"/>
      <c r="T218" s="110"/>
    </row>
    <row r="219" spans="1:21" s="111" customFormat="1" ht="69.75" x14ac:dyDescent="0.35">
      <c r="A219" s="576"/>
      <c r="B219" s="600"/>
      <c r="C219" s="507" t="s">
        <v>15</v>
      </c>
      <c r="D219" s="510" t="s">
        <v>91</v>
      </c>
      <c r="E219" s="505" t="s">
        <v>92</v>
      </c>
      <c r="F219" s="505">
        <v>35</v>
      </c>
      <c r="G219" s="505">
        <v>31.2</v>
      </c>
      <c r="H219" s="509">
        <f t="shared" si="2"/>
        <v>100</v>
      </c>
      <c r="I219" s="114"/>
      <c r="J219" s="595"/>
      <c r="K219" s="597"/>
      <c r="L219" s="597"/>
      <c r="M219" s="593"/>
      <c r="N219" s="593"/>
      <c r="O219" s="587"/>
      <c r="P219" s="589"/>
      <c r="Q219" s="591"/>
      <c r="R219" s="593"/>
      <c r="S219" s="579"/>
      <c r="T219" s="110"/>
    </row>
    <row r="220" spans="1:21" s="111" customFormat="1" x14ac:dyDescent="0.35">
      <c r="A220" s="576"/>
      <c r="B220" s="600"/>
      <c r="C220" s="507"/>
      <c r="D220" s="510"/>
      <c r="E220" s="505"/>
      <c r="F220" s="505"/>
      <c r="G220" s="505"/>
      <c r="H220" s="509"/>
      <c r="I220" s="114"/>
      <c r="J220" s="118" t="s">
        <v>15</v>
      </c>
      <c r="K220" s="116" t="s">
        <v>313</v>
      </c>
      <c r="L220" s="114" t="s">
        <v>38</v>
      </c>
      <c r="M220" s="505">
        <v>3</v>
      </c>
      <c r="N220" s="505">
        <v>3</v>
      </c>
      <c r="O220" s="509">
        <f t="shared" si="3"/>
        <v>100</v>
      </c>
      <c r="P220" s="136"/>
      <c r="Q220" s="506"/>
      <c r="R220" s="505"/>
      <c r="S220" s="579"/>
      <c r="T220" s="110"/>
    </row>
    <row r="221" spans="1:21" s="111" customFormat="1" ht="93" x14ac:dyDescent="0.35">
      <c r="A221" s="576"/>
      <c r="B221" s="600"/>
      <c r="C221" s="507"/>
      <c r="D221" s="510"/>
      <c r="E221" s="505"/>
      <c r="F221" s="505"/>
      <c r="G221" s="505"/>
      <c r="H221" s="509"/>
      <c r="I221" s="114"/>
      <c r="J221" s="118" t="s">
        <v>39</v>
      </c>
      <c r="K221" s="116" t="s">
        <v>319</v>
      </c>
      <c r="L221" s="114" t="s">
        <v>38</v>
      </c>
      <c r="M221" s="505">
        <v>17</v>
      </c>
      <c r="N221" s="505">
        <v>17</v>
      </c>
      <c r="O221" s="509">
        <f t="shared" si="3"/>
        <v>100</v>
      </c>
      <c r="P221" s="136"/>
      <c r="Q221" s="506"/>
      <c r="R221" s="505"/>
      <c r="S221" s="579"/>
      <c r="T221" s="110"/>
    </row>
    <row r="222" spans="1:21" s="111" customFormat="1" ht="69.75" x14ac:dyDescent="0.35">
      <c r="A222" s="576"/>
      <c r="B222" s="600"/>
      <c r="C222" s="114"/>
      <c r="D222" s="116"/>
      <c r="E222" s="114"/>
      <c r="F222" s="114"/>
      <c r="G222" s="114"/>
      <c r="H222" s="115"/>
      <c r="I222" s="114"/>
      <c r="J222" s="118" t="s">
        <v>45</v>
      </c>
      <c r="K222" s="116" t="s">
        <v>463</v>
      </c>
      <c r="L222" s="114" t="s">
        <v>38</v>
      </c>
      <c r="M222" s="505">
        <v>5</v>
      </c>
      <c r="N222" s="505">
        <v>5</v>
      </c>
      <c r="O222" s="509">
        <f t="shared" si="3"/>
        <v>100</v>
      </c>
      <c r="P222" s="136"/>
      <c r="Q222" s="506"/>
      <c r="R222" s="505"/>
      <c r="S222" s="579"/>
      <c r="T222" s="110"/>
    </row>
    <row r="223" spans="1:21" s="111" customFormat="1" ht="69.75" x14ac:dyDescent="0.35">
      <c r="A223" s="576"/>
      <c r="B223" s="600"/>
      <c r="C223" s="507"/>
      <c r="D223" s="510"/>
      <c r="E223" s="505"/>
      <c r="F223" s="505"/>
      <c r="G223" s="505"/>
      <c r="H223" s="509"/>
      <c r="I223" s="114"/>
      <c r="J223" s="118" t="s">
        <v>66</v>
      </c>
      <c r="K223" s="116" t="s">
        <v>410</v>
      </c>
      <c r="L223" s="114" t="s">
        <v>38</v>
      </c>
      <c r="M223" s="505">
        <v>22</v>
      </c>
      <c r="N223" s="505">
        <v>22</v>
      </c>
      <c r="O223" s="509">
        <f t="shared" si="3"/>
        <v>100</v>
      </c>
      <c r="P223" s="136"/>
      <c r="Q223" s="506"/>
      <c r="R223" s="505"/>
      <c r="S223" s="579"/>
      <c r="T223" s="110"/>
    </row>
    <row r="224" spans="1:21" s="124" customFormat="1" ht="37.5" customHeight="1" x14ac:dyDescent="0.35">
      <c r="A224" s="576"/>
      <c r="B224" s="600"/>
      <c r="C224" s="191"/>
      <c r="D224" s="183" t="s">
        <v>6</v>
      </c>
      <c r="E224" s="191"/>
      <c r="F224" s="184"/>
      <c r="G224" s="184"/>
      <c r="H224" s="187"/>
      <c r="I224" s="187">
        <f>(H218+H219)/2</f>
        <v>100</v>
      </c>
      <c r="J224" s="182"/>
      <c r="K224" s="183" t="s">
        <v>6</v>
      </c>
      <c r="L224" s="184"/>
      <c r="M224" s="188"/>
      <c r="N224" s="188"/>
      <c r="O224" s="187"/>
      <c r="P224" s="187">
        <f>(O223+O220+O221+O219+O218)/4</f>
        <v>100</v>
      </c>
      <c r="Q224" s="187">
        <f>(I224+P224)/2</f>
        <v>100</v>
      </c>
      <c r="R224" s="191" t="s">
        <v>31</v>
      </c>
      <c r="S224" s="579"/>
      <c r="T224" s="110"/>
    </row>
    <row r="225" spans="1:21" s="111" customFormat="1" ht="73.5" customHeight="1" x14ac:dyDescent="0.35">
      <c r="A225" s="576">
        <v>21</v>
      </c>
      <c r="B225" s="600" t="s">
        <v>111</v>
      </c>
      <c r="C225" s="500" t="s">
        <v>12</v>
      </c>
      <c r="D225" s="112" t="s">
        <v>87</v>
      </c>
      <c r="E225" s="120"/>
      <c r="F225" s="120"/>
      <c r="G225" s="120"/>
      <c r="H225" s="506"/>
      <c r="I225" s="113"/>
      <c r="J225" s="502" t="s">
        <v>12</v>
      </c>
      <c r="K225" s="112" t="s">
        <v>87</v>
      </c>
      <c r="L225" s="114"/>
      <c r="M225" s="505"/>
      <c r="N225" s="505"/>
      <c r="O225" s="506"/>
      <c r="P225" s="136"/>
      <c r="Q225" s="506"/>
      <c r="R225" s="507"/>
      <c r="S225" s="579" t="s">
        <v>279</v>
      </c>
      <c r="T225" s="110"/>
    </row>
    <row r="226" spans="1:21" s="111" customFormat="1" ht="80.25" customHeight="1" x14ac:dyDescent="0.35">
      <c r="A226" s="576"/>
      <c r="B226" s="600"/>
      <c r="C226" s="507" t="s">
        <v>7</v>
      </c>
      <c r="D226" s="510" t="s">
        <v>88</v>
      </c>
      <c r="E226" s="505" t="s">
        <v>25</v>
      </c>
      <c r="F226" s="505">
        <v>95</v>
      </c>
      <c r="G226" s="505">
        <v>98.5</v>
      </c>
      <c r="H226" s="509">
        <f>IF(G226/F226*100&gt;100,100,G226/F226*100)</f>
        <v>100</v>
      </c>
      <c r="I226" s="114"/>
      <c r="J226" s="114" t="s">
        <v>7</v>
      </c>
      <c r="K226" s="116" t="s">
        <v>316</v>
      </c>
      <c r="L226" s="114" t="s">
        <v>38</v>
      </c>
      <c r="M226" s="505">
        <v>84</v>
      </c>
      <c r="N226" s="505">
        <v>84</v>
      </c>
      <c r="O226" s="509">
        <f>IF(N226/M226*100&gt;110,110,N226/M226*100)</f>
        <v>100</v>
      </c>
      <c r="P226" s="136"/>
      <c r="Q226" s="506"/>
      <c r="R226" s="505"/>
      <c r="S226" s="579"/>
      <c r="T226" s="110"/>
    </row>
    <row r="227" spans="1:21" s="111" customFormat="1" ht="80.25" customHeight="1" x14ac:dyDescent="0.35">
      <c r="A227" s="576"/>
      <c r="B227" s="600"/>
      <c r="C227" s="507"/>
      <c r="D227" s="510"/>
      <c r="E227" s="505"/>
      <c r="F227" s="505"/>
      <c r="G227" s="505"/>
      <c r="H227" s="509"/>
      <c r="I227" s="114"/>
      <c r="J227" s="114" t="s">
        <v>8</v>
      </c>
      <c r="K227" s="116" t="s">
        <v>312</v>
      </c>
      <c r="L227" s="114" t="s">
        <v>38</v>
      </c>
      <c r="M227" s="505">
        <v>208</v>
      </c>
      <c r="N227" s="505">
        <v>208</v>
      </c>
      <c r="O227" s="509">
        <f>IF(N227/M227*100&gt;110,110,N227/M227*100)</f>
        <v>100</v>
      </c>
      <c r="P227" s="136"/>
      <c r="Q227" s="506"/>
      <c r="R227" s="505"/>
      <c r="S227" s="579"/>
      <c r="T227" s="110"/>
    </row>
    <row r="228" spans="1:21" s="111" customFormat="1" x14ac:dyDescent="0.35">
      <c r="A228" s="576"/>
      <c r="B228" s="600"/>
      <c r="C228" s="507"/>
      <c r="D228" s="510"/>
      <c r="E228" s="505"/>
      <c r="F228" s="505"/>
      <c r="G228" s="505"/>
      <c r="H228" s="509"/>
      <c r="I228" s="114"/>
      <c r="J228" s="114" t="s">
        <v>9</v>
      </c>
      <c r="K228" s="116" t="s">
        <v>321</v>
      </c>
      <c r="L228" s="114" t="s">
        <v>38</v>
      </c>
      <c r="M228" s="505">
        <v>18</v>
      </c>
      <c r="N228" s="505">
        <v>18</v>
      </c>
      <c r="O228" s="509">
        <f>IF(N228/M228*100&gt;110,110,N228/M228*100)</f>
        <v>100</v>
      </c>
      <c r="P228" s="136"/>
      <c r="Q228" s="506"/>
      <c r="R228" s="505"/>
      <c r="S228" s="579"/>
      <c r="T228" s="110"/>
    </row>
    <row r="229" spans="1:21" s="124" customFormat="1" ht="54.75" customHeight="1" x14ac:dyDescent="0.35">
      <c r="A229" s="576"/>
      <c r="B229" s="600"/>
      <c r="C229" s="182"/>
      <c r="D229" s="183" t="s">
        <v>6</v>
      </c>
      <c r="E229" s="184"/>
      <c r="F229" s="185"/>
      <c r="G229" s="186"/>
      <c r="H229" s="187"/>
      <c r="I229" s="187">
        <f>H226</f>
        <v>100</v>
      </c>
      <c r="J229" s="184"/>
      <c r="K229" s="183" t="s">
        <v>6</v>
      </c>
      <c r="L229" s="184"/>
      <c r="M229" s="188"/>
      <c r="N229" s="188"/>
      <c r="O229" s="187"/>
      <c r="P229" s="187">
        <f>(O228+O226+O227)/3</f>
        <v>100</v>
      </c>
      <c r="Q229" s="187">
        <f>(I229+P229)/2</f>
        <v>100</v>
      </c>
      <c r="R229" s="191" t="s">
        <v>31</v>
      </c>
      <c r="S229" s="579"/>
      <c r="T229" s="110"/>
      <c r="U229" s="189"/>
    </row>
    <row r="230" spans="1:21" s="111" customFormat="1" ht="36" customHeight="1" x14ac:dyDescent="0.35">
      <c r="A230" s="576"/>
      <c r="B230" s="600"/>
      <c r="C230" s="500" t="s">
        <v>13</v>
      </c>
      <c r="D230" s="112" t="s">
        <v>90</v>
      </c>
      <c r="E230" s="505"/>
      <c r="F230" s="505"/>
      <c r="G230" s="505"/>
      <c r="H230" s="506"/>
      <c r="I230" s="113"/>
      <c r="J230" s="500" t="s">
        <v>13</v>
      </c>
      <c r="K230" s="112" t="s">
        <v>90</v>
      </c>
      <c r="L230" s="114"/>
      <c r="M230" s="138"/>
      <c r="N230" s="138"/>
      <c r="O230" s="506"/>
      <c r="P230" s="136"/>
      <c r="Q230" s="506"/>
      <c r="R230" s="507"/>
      <c r="S230" s="579"/>
      <c r="T230" s="110"/>
    </row>
    <row r="231" spans="1:21" s="111" customFormat="1" ht="69.75" x14ac:dyDescent="0.35">
      <c r="A231" s="576"/>
      <c r="B231" s="600"/>
      <c r="C231" s="507" t="s">
        <v>14</v>
      </c>
      <c r="D231" s="510" t="s">
        <v>88</v>
      </c>
      <c r="E231" s="505" t="s">
        <v>25</v>
      </c>
      <c r="F231" s="505">
        <v>95</v>
      </c>
      <c r="G231" s="505">
        <v>98.8</v>
      </c>
      <c r="H231" s="509">
        <f>IF(G231/F231*100&gt;100,100,G231/F231*100)</f>
        <v>100</v>
      </c>
      <c r="I231" s="114"/>
      <c r="J231" s="118" t="s">
        <v>14</v>
      </c>
      <c r="K231" s="116" t="s">
        <v>320</v>
      </c>
      <c r="L231" s="114" t="s">
        <v>38</v>
      </c>
      <c r="M231" s="505">
        <v>309</v>
      </c>
      <c r="N231" s="505">
        <v>309</v>
      </c>
      <c r="O231" s="509">
        <f>IF(N231/M231*100&gt;110,110,N231/M231*100)</f>
        <v>100</v>
      </c>
      <c r="P231" s="136"/>
      <c r="Q231" s="506"/>
      <c r="R231" s="505"/>
      <c r="S231" s="579"/>
      <c r="T231" s="110"/>
    </row>
    <row r="232" spans="1:21" s="111" customFormat="1" ht="69.75" x14ac:dyDescent="0.35">
      <c r="A232" s="576"/>
      <c r="B232" s="600"/>
      <c r="C232" s="507" t="s">
        <v>15</v>
      </c>
      <c r="D232" s="510" t="s">
        <v>91</v>
      </c>
      <c r="E232" s="505" t="s">
        <v>92</v>
      </c>
      <c r="F232" s="505">
        <v>35</v>
      </c>
      <c r="G232" s="505">
        <v>11.5</v>
      </c>
      <c r="H232" s="509">
        <f t="shared" si="2"/>
        <v>100</v>
      </c>
      <c r="I232" s="114"/>
      <c r="J232" s="118" t="s">
        <v>15</v>
      </c>
      <c r="K232" s="116" t="s">
        <v>609</v>
      </c>
      <c r="L232" s="114" t="s">
        <v>38</v>
      </c>
      <c r="M232" s="505">
        <v>1</v>
      </c>
      <c r="N232" s="505">
        <v>1</v>
      </c>
      <c r="O232" s="509">
        <f>IF(N232/M232*100&gt;110,110,N232/M232*100)</f>
        <v>100</v>
      </c>
      <c r="P232" s="136"/>
      <c r="Q232" s="506"/>
      <c r="R232" s="505"/>
      <c r="S232" s="579"/>
      <c r="T232" s="110"/>
    </row>
    <row r="233" spans="1:21" s="124" customFormat="1" ht="37.5" customHeight="1" x14ac:dyDescent="0.35">
      <c r="A233" s="576"/>
      <c r="B233" s="600"/>
      <c r="C233" s="191"/>
      <c r="D233" s="183" t="s">
        <v>6</v>
      </c>
      <c r="E233" s="191"/>
      <c r="F233" s="184"/>
      <c r="G233" s="184"/>
      <c r="H233" s="187"/>
      <c r="I233" s="187">
        <f>(H231+H232)/2</f>
        <v>100</v>
      </c>
      <c r="J233" s="182"/>
      <c r="K233" s="183" t="s">
        <v>6</v>
      </c>
      <c r="L233" s="184"/>
      <c r="M233" s="188"/>
      <c r="N233" s="188"/>
      <c r="O233" s="187"/>
      <c r="P233" s="187">
        <f>O231/1</f>
        <v>100</v>
      </c>
      <c r="Q233" s="187">
        <f>(I233+P233)/2</f>
        <v>100</v>
      </c>
      <c r="R233" s="191" t="s">
        <v>31</v>
      </c>
      <c r="S233" s="579"/>
      <c r="T233" s="110"/>
    </row>
    <row r="234" spans="1:21" s="111" customFormat="1" ht="65.25" customHeight="1" x14ac:dyDescent="0.35">
      <c r="A234" s="576">
        <v>22</v>
      </c>
      <c r="B234" s="600" t="s">
        <v>112</v>
      </c>
      <c r="C234" s="500" t="s">
        <v>12</v>
      </c>
      <c r="D234" s="112" t="s">
        <v>87</v>
      </c>
      <c r="E234" s="120"/>
      <c r="F234" s="120"/>
      <c r="G234" s="120"/>
      <c r="H234" s="506"/>
      <c r="I234" s="506"/>
      <c r="J234" s="120" t="s">
        <v>12</v>
      </c>
      <c r="K234" s="135" t="s">
        <v>87</v>
      </c>
      <c r="L234" s="505"/>
      <c r="M234" s="505"/>
      <c r="N234" s="505"/>
      <c r="O234" s="506"/>
      <c r="P234" s="136"/>
      <c r="Q234" s="506"/>
      <c r="R234" s="114"/>
      <c r="S234" s="579" t="s">
        <v>607</v>
      </c>
      <c r="T234" s="110"/>
    </row>
    <row r="235" spans="1:21" s="111" customFormat="1" ht="69.75" x14ac:dyDescent="0.35">
      <c r="A235" s="576"/>
      <c r="B235" s="600"/>
      <c r="C235" s="507" t="s">
        <v>7</v>
      </c>
      <c r="D235" s="510" t="s">
        <v>88</v>
      </c>
      <c r="E235" s="505" t="s">
        <v>25</v>
      </c>
      <c r="F235" s="505">
        <v>95</v>
      </c>
      <c r="G235" s="505">
        <v>93</v>
      </c>
      <c r="H235" s="509">
        <f>IF(G235/F235*100&gt;100,100,G235/F235*100)</f>
        <v>97.894736842105274</v>
      </c>
      <c r="I235" s="505"/>
      <c r="J235" s="505" t="s">
        <v>7</v>
      </c>
      <c r="K235" s="508" t="s">
        <v>316</v>
      </c>
      <c r="L235" s="505" t="s">
        <v>38</v>
      </c>
      <c r="M235" s="505">
        <v>55</v>
      </c>
      <c r="N235" s="505">
        <v>55</v>
      </c>
      <c r="O235" s="509">
        <f>IF(N235/M235*100&gt;110,110,N235/M235*100)</f>
        <v>100</v>
      </c>
      <c r="P235" s="136"/>
      <c r="Q235" s="506"/>
      <c r="R235" s="505"/>
      <c r="S235" s="579"/>
      <c r="T235" s="110"/>
    </row>
    <row r="236" spans="1:21" s="111" customFormat="1" ht="69.75" x14ac:dyDescent="0.35">
      <c r="A236" s="576"/>
      <c r="B236" s="600"/>
      <c r="C236" s="507"/>
      <c r="D236" s="510"/>
      <c r="E236" s="505"/>
      <c r="F236" s="505"/>
      <c r="G236" s="505"/>
      <c r="H236" s="509"/>
      <c r="I236" s="505"/>
      <c r="J236" s="505" t="s">
        <v>8</v>
      </c>
      <c r="K236" s="508" t="s">
        <v>312</v>
      </c>
      <c r="L236" s="505" t="s">
        <v>38</v>
      </c>
      <c r="M236" s="505">
        <v>183</v>
      </c>
      <c r="N236" s="505">
        <v>183</v>
      </c>
      <c r="O236" s="509">
        <f>IF(N236/M236*100&gt;110,110,N236/M236*100)</f>
        <v>100</v>
      </c>
      <c r="P236" s="136"/>
      <c r="Q236" s="506"/>
      <c r="R236" s="505"/>
      <c r="S236" s="579"/>
      <c r="T236" s="110"/>
    </row>
    <row r="237" spans="1:21" s="111" customFormat="1" x14ac:dyDescent="0.35">
      <c r="A237" s="576"/>
      <c r="B237" s="600"/>
      <c r="C237" s="507"/>
      <c r="D237" s="510"/>
      <c r="E237" s="505"/>
      <c r="F237" s="505"/>
      <c r="G237" s="505"/>
      <c r="H237" s="509"/>
      <c r="I237" s="505"/>
      <c r="J237" s="505" t="s">
        <v>9</v>
      </c>
      <c r="K237" s="508" t="s">
        <v>321</v>
      </c>
      <c r="L237" s="505" t="s">
        <v>38</v>
      </c>
      <c r="M237" s="505">
        <v>15</v>
      </c>
      <c r="N237" s="505">
        <v>15</v>
      </c>
      <c r="O237" s="509">
        <f>IF(N237/M237*100&gt;110,110,N237/M237*100)</f>
        <v>100</v>
      </c>
      <c r="P237" s="136"/>
      <c r="Q237" s="506"/>
      <c r="R237" s="505"/>
      <c r="S237" s="579"/>
      <c r="T237" s="110"/>
    </row>
    <row r="238" spans="1:21" s="124" customFormat="1" ht="54.75" customHeight="1" x14ac:dyDescent="0.35">
      <c r="A238" s="576"/>
      <c r="B238" s="600"/>
      <c r="C238" s="182"/>
      <c r="D238" s="183" t="s">
        <v>6</v>
      </c>
      <c r="E238" s="184"/>
      <c r="F238" s="185"/>
      <c r="G238" s="186"/>
      <c r="H238" s="187"/>
      <c r="I238" s="187">
        <f>H235</f>
        <v>97.894736842105274</v>
      </c>
      <c r="J238" s="184"/>
      <c r="K238" s="183" t="s">
        <v>6</v>
      </c>
      <c r="L238" s="184"/>
      <c r="M238" s="188"/>
      <c r="N238" s="188"/>
      <c r="O238" s="187"/>
      <c r="P238" s="187">
        <f>(O237+O235+O236)/3</f>
        <v>100</v>
      </c>
      <c r="Q238" s="187">
        <f>(I238+P238)/2</f>
        <v>98.94736842105263</v>
      </c>
      <c r="R238" s="191" t="s">
        <v>608</v>
      </c>
      <c r="S238" s="579"/>
      <c r="T238" s="110"/>
      <c r="U238" s="189"/>
    </row>
    <row r="239" spans="1:21" s="111" customFormat="1" ht="51" customHeight="1" x14ac:dyDescent="0.35">
      <c r="A239" s="576"/>
      <c r="B239" s="600"/>
      <c r="C239" s="500" t="s">
        <v>13</v>
      </c>
      <c r="D239" s="112" t="s">
        <v>90</v>
      </c>
      <c r="E239" s="505"/>
      <c r="F239" s="505"/>
      <c r="G239" s="505"/>
      <c r="H239" s="506"/>
      <c r="I239" s="506"/>
      <c r="J239" s="120" t="s">
        <v>13</v>
      </c>
      <c r="K239" s="135" t="s">
        <v>90</v>
      </c>
      <c r="L239" s="505"/>
      <c r="M239" s="138"/>
      <c r="N239" s="138"/>
      <c r="O239" s="506"/>
      <c r="P239" s="136"/>
      <c r="Q239" s="506"/>
      <c r="R239" s="114"/>
      <c r="S239" s="579"/>
      <c r="T239" s="110"/>
    </row>
    <row r="240" spans="1:21" s="111" customFormat="1" ht="69.75" x14ac:dyDescent="0.35">
      <c r="A240" s="576"/>
      <c r="B240" s="600"/>
      <c r="C240" s="507" t="s">
        <v>14</v>
      </c>
      <c r="D240" s="510" t="s">
        <v>88</v>
      </c>
      <c r="E240" s="505" t="s">
        <v>25</v>
      </c>
      <c r="F240" s="505">
        <v>95</v>
      </c>
      <c r="G240" s="505">
        <v>93</v>
      </c>
      <c r="H240" s="509">
        <f>IF(G240/F240*100&gt;100,100,G240/F240*100)</f>
        <v>97.894736842105274</v>
      </c>
      <c r="I240" s="505"/>
      <c r="J240" s="598" t="s">
        <v>14</v>
      </c>
      <c r="K240" s="592" t="s">
        <v>320</v>
      </c>
      <c r="L240" s="592" t="s">
        <v>38</v>
      </c>
      <c r="M240" s="592">
        <v>253</v>
      </c>
      <c r="N240" s="592">
        <v>253</v>
      </c>
      <c r="O240" s="586">
        <f>IF(N240/M240*100&gt;110,110,N240/M240*100)</f>
        <v>100</v>
      </c>
      <c r="P240" s="588"/>
      <c r="Q240" s="590"/>
      <c r="R240" s="592"/>
      <c r="S240" s="579"/>
      <c r="T240" s="110"/>
    </row>
    <row r="241" spans="1:21" s="111" customFormat="1" ht="69.75" x14ac:dyDescent="0.35">
      <c r="A241" s="576"/>
      <c r="B241" s="600"/>
      <c r="C241" s="507" t="s">
        <v>15</v>
      </c>
      <c r="D241" s="510" t="s">
        <v>91</v>
      </c>
      <c r="E241" s="505" t="s">
        <v>92</v>
      </c>
      <c r="F241" s="505">
        <v>35</v>
      </c>
      <c r="G241" s="505">
        <v>28.6</v>
      </c>
      <c r="H241" s="509">
        <f t="shared" si="2"/>
        <v>100</v>
      </c>
      <c r="I241" s="505"/>
      <c r="J241" s="599"/>
      <c r="K241" s="593"/>
      <c r="L241" s="593"/>
      <c r="M241" s="593"/>
      <c r="N241" s="593"/>
      <c r="O241" s="587"/>
      <c r="P241" s="589"/>
      <c r="Q241" s="591"/>
      <c r="R241" s="593"/>
      <c r="S241" s="579"/>
      <c r="T241" s="110"/>
    </row>
    <row r="242" spans="1:21" s="124" customFormat="1" ht="37.5" customHeight="1" x14ac:dyDescent="0.35">
      <c r="A242" s="576"/>
      <c r="B242" s="600"/>
      <c r="C242" s="191"/>
      <c r="D242" s="183" t="s">
        <v>6</v>
      </c>
      <c r="E242" s="191"/>
      <c r="F242" s="184"/>
      <c r="G242" s="184"/>
      <c r="H242" s="187"/>
      <c r="I242" s="187">
        <f>(H241+H240)/2</f>
        <v>98.94736842105263</v>
      </c>
      <c r="J242" s="182"/>
      <c r="K242" s="183" t="s">
        <v>6</v>
      </c>
      <c r="L242" s="184"/>
      <c r="M242" s="188"/>
      <c r="N242" s="188"/>
      <c r="O242" s="187"/>
      <c r="P242" s="187">
        <f>(O240+O241)/1</f>
        <v>100</v>
      </c>
      <c r="Q242" s="187">
        <f>(I242+P242)/2</f>
        <v>99.473684210526315</v>
      </c>
      <c r="R242" s="191" t="s">
        <v>608</v>
      </c>
      <c r="S242" s="579"/>
      <c r="T242" s="110"/>
    </row>
    <row r="243" spans="1:21" s="111" customFormat="1" ht="71.25" customHeight="1" x14ac:dyDescent="0.35">
      <c r="A243" s="576">
        <v>23</v>
      </c>
      <c r="B243" s="600" t="s">
        <v>113</v>
      </c>
      <c r="C243" s="500" t="s">
        <v>12</v>
      </c>
      <c r="D243" s="112" t="s">
        <v>87</v>
      </c>
      <c r="E243" s="120"/>
      <c r="F243" s="120"/>
      <c r="G243" s="120"/>
      <c r="H243" s="506"/>
      <c r="I243" s="506"/>
      <c r="J243" s="120" t="s">
        <v>12</v>
      </c>
      <c r="K243" s="135" t="s">
        <v>87</v>
      </c>
      <c r="L243" s="505"/>
      <c r="M243" s="505"/>
      <c r="N243" s="505"/>
      <c r="O243" s="506"/>
      <c r="P243" s="136"/>
      <c r="Q243" s="506"/>
      <c r="R243" s="505"/>
      <c r="S243" s="579" t="s">
        <v>279</v>
      </c>
      <c r="T243" s="110"/>
    </row>
    <row r="244" spans="1:21" s="111" customFormat="1" ht="82.5" customHeight="1" x14ac:dyDescent="0.35">
      <c r="A244" s="576"/>
      <c r="B244" s="600"/>
      <c r="C244" s="507" t="s">
        <v>7</v>
      </c>
      <c r="D244" s="510" t="s">
        <v>88</v>
      </c>
      <c r="E244" s="505" t="s">
        <v>25</v>
      </c>
      <c r="F244" s="505">
        <v>95</v>
      </c>
      <c r="G244" s="505">
        <v>96</v>
      </c>
      <c r="H244" s="509">
        <f>IF(G244/F244*100&gt;100,100,G244/F244*100)</f>
        <v>100</v>
      </c>
      <c r="I244" s="505"/>
      <c r="J244" s="505" t="s">
        <v>7</v>
      </c>
      <c r="K244" s="508" t="s">
        <v>316</v>
      </c>
      <c r="L244" s="505" t="s">
        <v>38</v>
      </c>
      <c r="M244" s="505">
        <v>111</v>
      </c>
      <c r="N244" s="505">
        <v>111</v>
      </c>
      <c r="O244" s="509">
        <f>IF(N244/M244*100&gt;110,110,N244/M244*100)</f>
        <v>100</v>
      </c>
      <c r="P244" s="136"/>
      <c r="Q244" s="506"/>
      <c r="R244" s="505"/>
      <c r="S244" s="579"/>
      <c r="T244" s="110"/>
    </row>
    <row r="245" spans="1:21" s="111" customFormat="1" ht="62.25" customHeight="1" x14ac:dyDescent="0.35">
      <c r="A245" s="576"/>
      <c r="B245" s="600"/>
      <c r="C245" s="507"/>
      <c r="D245" s="510"/>
      <c r="E245" s="505"/>
      <c r="F245" s="505"/>
      <c r="G245" s="505"/>
      <c r="H245" s="509"/>
      <c r="I245" s="505"/>
      <c r="J245" s="505" t="s">
        <v>8</v>
      </c>
      <c r="K245" s="508" t="s">
        <v>312</v>
      </c>
      <c r="L245" s="505" t="s">
        <v>38</v>
      </c>
      <c r="M245" s="505">
        <v>426</v>
      </c>
      <c r="N245" s="505">
        <v>426</v>
      </c>
      <c r="O245" s="509">
        <f>IF(N245/M245*100&gt;110,110,N245/M245*100)</f>
        <v>100</v>
      </c>
      <c r="P245" s="136"/>
      <c r="Q245" s="506"/>
      <c r="R245" s="505"/>
      <c r="S245" s="579"/>
      <c r="T245" s="110"/>
    </row>
    <row r="246" spans="1:21" s="111" customFormat="1" ht="62.25" customHeight="1" x14ac:dyDescent="0.35">
      <c r="A246" s="576"/>
      <c r="B246" s="600"/>
      <c r="C246" s="507"/>
      <c r="D246" s="510"/>
      <c r="E246" s="505"/>
      <c r="F246" s="505"/>
      <c r="G246" s="505"/>
      <c r="H246" s="509"/>
      <c r="I246" s="505"/>
      <c r="J246" s="505" t="s">
        <v>9</v>
      </c>
      <c r="K246" s="508" t="s">
        <v>315</v>
      </c>
      <c r="L246" s="505" t="s">
        <v>38</v>
      </c>
      <c r="M246" s="505">
        <v>35</v>
      </c>
      <c r="N246" s="505">
        <v>35</v>
      </c>
      <c r="O246" s="509">
        <f>IF(N246/M246*100&gt;110,110,N246/M246*100)</f>
        <v>100</v>
      </c>
      <c r="P246" s="136"/>
      <c r="Q246" s="506"/>
      <c r="R246" s="505"/>
      <c r="S246" s="579"/>
      <c r="T246" s="110"/>
    </row>
    <row r="247" spans="1:21" s="124" customFormat="1" ht="54.75" customHeight="1" x14ac:dyDescent="0.35">
      <c r="A247" s="576"/>
      <c r="B247" s="600"/>
      <c r="C247" s="182"/>
      <c r="D247" s="183" t="s">
        <v>6</v>
      </c>
      <c r="E247" s="184"/>
      <c r="F247" s="185"/>
      <c r="G247" s="186"/>
      <c r="H247" s="187"/>
      <c r="I247" s="187">
        <f>H244</f>
        <v>100</v>
      </c>
      <c r="J247" s="184"/>
      <c r="K247" s="183" t="s">
        <v>6</v>
      </c>
      <c r="L247" s="184"/>
      <c r="M247" s="188"/>
      <c r="N247" s="188"/>
      <c r="O247" s="187"/>
      <c r="P247" s="187">
        <f>(O246+O244+O245)/3</f>
        <v>100</v>
      </c>
      <c r="Q247" s="187">
        <f>(I247+P247)/2</f>
        <v>100</v>
      </c>
      <c r="R247" s="191" t="s">
        <v>31</v>
      </c>
      <c r="S247" s="579"/>
      <c r="T247" s="110"/>
      <c r="U247" s="189"/>
    </row>
    <row r="248" spans="1:21" s="111" customFormat="1" ht="42" customHeight="1" x14ac:dyDescent="0.35">
      <c r="A248" s="576"/>
      <c r="B248" s="600"/>
      <c r="C248" s="500" t="s">
        <v>13</v>
      </c>
      <c r="D248" s="112" t="s">
        <v>90</v>
      </c>
      <c r="E248" s="505"/>
      <c r="F248" s="505"/>
      <c r="G248" s="505"/>
      <c r="H248" s="506"/>
      <c r="I248" s="506"/>
      <c r="J248" s="120" t="s">
        <v>13</v>
      </c>
      <c r="K248" s="135" t="s">
        <v>90</v>
      </c>
      <c r="L248" s="505"/>
      <c r="M248" s="138"/>
      <c r="N248" s="138"/>
      <c r="O248" s="506"/>
      <c r="P248" s="136"/>
      <c r="Q248" s="506"/>
      <c r="R248" s="505"/>
      <c r="S248" s="579"/>
      <c r="T248" s="110"/>
    </row>
    <row r="249" spans="1:21" s="111" customFormat="1" ht="69.75" x14ac:dyDescent="0.35">
      <c r="A249" s="576"/>
      <c r="B249" s="600"/>
      <c r="C249" s="507" t="s">
        <v>14</v>
      </c>
      <c r="D249" s="510" t="s">
        <v>88</v>
      </c>
      <c r="E249" s="505" t="s">
        <v>25</v>
      </c>
      <c r="F249" s="505">
        <v>95</v>
      </c>
      <c r="G249" s="505">
        <v>96.1</v>
      </c>
      <c r="H249" s="509">
        <f>IF(G249/F249*100&gt;100,100,G249/F249*100)</f>
        <v>100</v>
      </c>
      <c r="I249" s="505"/>
      <c r="J249" s="139" t="s">
        <v>14</v>
      </c>
      <c r="K249" s="508" t="s">
        <v>320</v>
      </c>
      <c r="L249" s="505" t="s">
        <v>38</v>
      </c>
      <c r="M249" s="505">
        <v>566</v>
      </c>
      <c r="N249" s="505">
        <v>566</v>
      </c>
      <c r="O249" s="509">
        <f>IF(N249/M249*100&gt;110,110,N249/M249*100)</f>
        <v>100</v>
      </c>
      <c r="P249" s="136"/>
      <c r="Q249" s="506"/>
      <c r="R249" s="505"/>
      <c r="S249" s="579"/>
      <c r="T249" s="110"/>
    </row>
    <row r="250" spans="1:21" s="111" customFormat="1" ht="69.75" x14ac:dyDescent="0.35">
      <c r="A250" s="576"/>
      <c r="B250" s="600"/>
      <c r="C250" s="507" t="s">
        <v>15</v>
      </c>
      <c r="D250" s="510" t="s">
        <v>91</v>
      </c>
      <c r="E250" s="505" t="s">
        <v>92</v>
      </c>
      <c r="F250" s="505">
        <v>35</v>
      </c>
      <c r="G250" s="505">
        <v>29.8</v>
      </c>
      <c r="H250" s="509">
        <f t="shared" si="2"/>
        <v>100</v>
      </c>
      <c r="I250" s="505"/>
      <c r="J250" s="139" t="s">
        <v>15</v>
      </c>
      <c r="K250" s="508" t="s">
        <v>463</v>
      </c>
      <c r="L250" s="505" t="s">
        <v>38</v>
      </c>
      <c r="M250" s="505">
        <v>2</v>
      </c>
      <c r="N250" s="505">
        <v>2</v>
      </c>
      <c r="O250" s="509">
        <f>IF(N250/M250*100&gt;110,110,N250/M250*100)</f>
        <v>100</v>
      </c>
      <c r="P250" s="136"/>
      <c r="Q250" s="506"/>
      <c r="R250" s="505"/>
      <c r="S250" s="579"/>
      <c r="T250" s="110"/>
    </row>
    <row r="251" spans="1:21" s="111" customFormat="1" x14ac:dyDescent="0.35">
      <c r="A251" s="576"/>
      <c r="B251" s="600"/>
      <c r="C251" s="507"/>
      <c r="D251" s="510"/>
      <c r="E251" s="505"/>
      <c r="F251" s="505"/>
      <c r="G251" s="505"/>
      <c r="H251" s="509"/>
      <c r="I251" s="505"/>
      <c r="J251" s="139" t="s">
        <v>39</v>
      </c>
      <c r="K251" s="508" t="s">
        <v>313</v>
      </c>
      <c r="L251" s="505" t="s">
        <v>38</v>
      </c>
      <c r="M251" s="505">
        <v>4</v>
      </c>
      <c r="N251" s="505">
        <v>4</v>
      </c>
      <c r="O251" s="509">
        <f>IF(N251/M251*100&gt;110,110,N251/M251*100)</f>
        <v>100</v>
      </c>
      <c r="P251" s="136"/>
      <c r="Q251" s="506"/>
      <c r="R251" s="505"/>
      <c r="S251" s="579"/>
      <c r="T251" s="110"/>
    </row>
    <row r="252" spans="1:21" s="124" customFormat="1" ht="54.75" customHeight="1" x14ac:dyDescent="0.35">
      <c r="A252" s="576"/>
      <c r="B252" s="600"/>
      <c r="C252" s="182"/>
      <c r="D252" s="183" t="s">
        <v>6</v>
      </c>
      <c r="E252" s="184"/>
      <c r="F252" s="185"/>
      <c r="G252" s="186"/>
      <c r="H252" s="187"/>
      <c r="I252" s="187">
        <f>(H249+H250)/2</f>
        <v>100</v>
      </c>
      <c r="J252" s="184"/>
      <c r="K252" s="183" t="s">
        <v>6</v>
      </c>
      <c r="L252" s="184"/>
      <c r="M252" s="188"/>
      <c r="N252" s="188"/>
      <c r="O252" s="187"/>
      <c r="P252" s="187">
        <f>(O251+O249+O250)/3</f>
        <v>100</v>
      </c>
      <c r="Q252" s="187">
        <f>(I252+P252)/2</f>
        <v>100</v>
      </c>
      <c r="R252" s="191" t="s">
        <v>31</v>
      </c>
      <c r="S252" s="579"/>
      <c r="T252" s="110"/>
      <c r="U252" s="189"/>
    </row>
    <row r="253" spans="1:21" s="111" customFormat="1" ht="69" customHeight="1" x14ac:dyDescent="0.35">
      <c r="A253" s="576">
        <v>24</v>
      </c>
      <c r="B253" s="600" t="s">
        <v>114</v>
      </c>
      <c r="C253" s="500" t="s">
        <v>12</v>
      </c>
      <c r="D253" s="112" t="s">
        <v>87</v>
      </c>
      <c r="E253" s="120"/>
      <c r="F253" s="120"/>
      <c r="G253" s="120"/>
      <c r="H253" s="506"/>
      <c r="I253" s="113"/>
      <c r="J253" s="502" t="s">
        <v>12</v>
      </c>
      <c r="K253" s="112" t="s">
        <v>87</v>
      </c>
      <c r="L253" s="114"/>
      <c r="M253" s="505"/>
      <c r="N253" s="505"/>
      <c r="O253" s="506"/>
      <c r="P253" s="136"/>
      <c r="Q253" s="506"/>
      <c r="R253" s="507"/>
      <c r="S253" s="579" t="s">
        <v>279</v>
      </c>
      <c r="T253" s="110"/>
    </row>
    <row r="254" spans="1:21" s="111" customFormat="1" ht="69.75" x14ac:dyDescent="0.35">
      <c r="A254" s="576"/>
      <c r="B254" s="600"/>
      <c r="C254" s="507" t="s">
        <v>7</v>
      </c>
      <c r="D254" s="510" t="s">
        <v>88</v>
      </c>
      <c r="E254" s="505" t="s">
        <v>25</v>
      </c>
      <c r="F254" s="505">
        <v>95</v>
      </c>
      <c r="G254" s="505">
        <v>96</v>
      </c>
      <c r="H254" s="509">
        <f>IF(G254/F254*100&gt;100,100,G254/F254*100)</f>
        <v>100</v>
      </c>
      <c r="I254" s="114"/>
      <c r="J254" s="114" t="s">
        <v>7</v>
      </c>
      <c r="K254" s="116" t="s">
        <v>316</v>
      </c>
      <c r="L254" s="114" t="s">
        <v>38</v>
      </c>
      <c r="M254" s="505">
        <v>56</v>
      </c>
      <c r="N254" s="505">
        <v>56</v>
      </c>
      <c r="O254" s="509">
        <f>IF(N254/M254*100&gt;110,110,N254/M254*100)</f>
        <v>100</v>
      </c>
      <c r="P254" s="136"/>
      <c r="Q254" s="506"/>
      <c r="R254" s="505"/>
      <c r="S254" s="579"/>
      <c r="T254" s="110"/>
    </row>
    <row r="255" spans="1:21" s="111" customFormat="1" ht="69.75" x14ac:dyDescent="0.35">
      <c r="A255" s="576"/>
      <c r="B255" s="600"/>
      <c r="C255" s="507"/>
      <c r="D255" s="510"/>
      <c r="E255" s="505"/>
      <c r="F255" s="505"/>
      <c r="G255" s="505"/>
      <c r="H255" s="509"/>
      <c r="I255" s="114"/>
      <c r="J255" s="114" t="s">
        <v>8</v>
      </c>
      <c r="K255" s="116" t="s">
        <v>312</v>
      </c>
      <c r="L255" s="114" t="s">
        <v>38</v>
      </c>
      <c r="M255" s="505">
        <v>163</v>
      </c>
      <c r="N255" s="505">
        <v>163</v>
      </c>
      <c r="O255" s="509">
        <f>IF(N255/M255*100&gt;110,110,N255/M255*100)</f>
        <v>100</v>
      </c>
      <c r="P255" s="136"/>
      <c r="Q255" s="506"/>
      <c r="R255" s="505"/>
      <c r="S255" s="579"/>
      <c r="T255" s="110"/>
    </row>
    <row r="256" spans="1:21" s="111" customFormat="1" ht="63.75" customHeight="1" x14ac:dyDescent="0.35">
      <c r="A256" s="576"/>
      <c r="B256" s="600"/>
      <c r="C256" s="507"/>
      <c r="D256" s="510"/>
      <c r="E256" s="505"/>
      <c r="F256" s="505"/>
      <c r="G256" s="505"/>
      <c r="H256" s="509"/>
      <c r="I256" s="114"/>
      <c r="J256" s="114" t="s">
        <v>9</v>
      </c>
      <c r="K256" s="116" t="s">
        <v>315</v>
      </c>
      <c r="L256" s="114" t="s">
        <v>38</v>
      </c>
      <c r="M256" s="505">
        <v>22</v>
      </c>
      <c r="N256" s="505">
        <v>22</v>
      </c>
      <c r="O256" s="509">
        <f>IF(N256/M256*100&gt;110,110,N256/M256*100)</f>
        <v>100</v>
      </c>
      <c r="P256" s="136"/>
      <c r="Q256" s="506"/>
      <c r="R256" s="505"/>
      <c r="S256" s="579"/>
      <c r="T256" s="110"/>
    </row>
    <row r="257" spans="1:47" s="124" customFormat="1" ht="54.75" customHeight="1" x14ac:dyDescent="0.35">
      <c r="A257" s="576"/>
      <c r="B257" s="600"/>
      <c r="C257" s="182"/>
      <c r="D257" s="183" t="s">
        <v>6</v>
      </c>
      <c r="E257" s="184"/>
      <c r="F257" s="185"/>
      <c r="G257" s="186"/>
      <c r="H257" s="187"/>
      <c r="I257" s="187">
        <f>H254</f>
        <v>100</v>
      </c>
      <c r="J257" s="184"/>
      <c r="K257" s="183" t="s">
        <v>6</v>
      </c>
      <c r="L257" s="184"/>
      <c r="M257" s="188"/>
      <c r="N257" s="188"/>
      <c r="O257" s="187"/>
      <c r="P257" s="187">
        <f>(O256+O254+O255)/3</f>
        <v>100</v>
      </c>
      <c r="Q257" s="187">
        <f>(I257+P257)/2</f>
        <v>100</v>
      </c>
      <c r="R257" s="191" t="s">
        <v>31</v>
      </c>
      <c r="S257" s="579"/>
      <c r="T257" s="110"/>
      <c r="U257" s="189"/>
    </row>
    <row r="258" spans="1:47" s="111" customFormat="1" ht="39.75" customHeight="1" x14ac:dyDescent="0.35">
      <c r="A258" s="576"/>
      <c r="B258" s="600"/>
      <c r="C258" s="500" t="s">
        <v>13</v>
      </c>
      <c r="D258" s="112" t="s">
        <v>90</v>
      </c>
      <c r="E258" s="505"/>
      <c r="F258" s="505"/>
      <c r="G258" s="505"/>
      <c r="H258" s="506"/>
      <c r="I258" s="113"/>
      <c r="J258" s="500" t="s">
        <v>13</v>
      </c>
      <c r="K258" s="112" t="s">
        <v>90</v>
      </c>
      <c r="L258" s="114"/>
      <c r="M258" s="138"/>
      <c r="N258" s="138"/>
      <c r="O258" s="506"/>
      <c r="P258" s="136"/>
      <c r="Q258" s="506"/>
      <c r="R258" s="507"/>
      <c r="S258" s="579"/>
      <c r="T258" s="110"/>
    </row>
    <row r="259" spans="1:47" s="111" customFormat="1" ht="69.75" x14ac:dyDescent="0.35">
      <c r="A259" s="576"/>
      <c r="B259" s="600"/>
      <c r="C259" s="507" t="s">
        <v>14</v>
      </c>
      <c r="D259" s="510" t="s">
        <v>88</v>
      </c>
      <c r="E259" s="505" t="s">
        <v>25</v>
      </c>
      <c r="F259" s="505">
        <v>95</v>
      </c>
      <c r="G259" s="505">
        <v>97</v>
      </c>
      <c r="H259" s="509">
        <f>IF(G259/F259*100&gt;100,100,G259/F259*100)</f>
        <v>100</v>
      </c>
      <c r="I259" s="114"/>
      <c r="J259" s="118" t="s">
        <v>14</v>
      </c>
      <c r="K259" s="116" t="s">
        <v>320</v>
      </c>
      <c r="L259" s="114" t="s">
        <v>38</v>
      </c>
      <c r="M259" s="505">
        <v>235</v>
      </c>
      <c r="N259" s="505">
        <v>235</v>
      </c>
      <c r="O259" s="509">
        <f>IF(N259/M259*100&gt;110,110,N259/M259*100)</f>
        <v>100</v>
      </c>
      <c r="P259" s="136"/>
      <c r="Q259" s="506"/>
      <c r="R259" s="505"/>
      <c r="S259" s="579"/>
      <c r="T259" s="110"/>
    </row>
    <row r="260" spans="1:47" s="111" customFormat="1" ht="69.75" x14ac:dyDescent="0.35">
      <c r="A260" s="576"/>
      <c r="B260" s="600"/>
      <c r="C260" s="507" t="s">
        <v>15</v>
      </c>
      <c r="D260" s="510" t="s">
        <v>91</v>
      </c>
      <c r="E260" s="505" t="s">
        <v>92</v>
      </c>
      <c r="F260" s="505">
        <v>35</v>
      </c>
      <c r="G260" s="505">
        <v>24.2</v>
      </c>
      <c r="H260" s="509">
        <f t="shared" ref="H260:H306" si="4">IF(F260/G260*100&gt;100,100,F260/G260*100)</f>
        <v>100</v>
      </c>
      <c r="I260" s="114"/>
      <c r="J260" s="118" t="s">
        <v>15</v>
      </c>
      <c r="K260" s="508" t="s">
        <v>463</v>
      </c>
      <c r="L260" s="114" t="s">
        <v>38</v>
      </c>
      <c r="M260" s="505">
        <v>2</v>
      </c>
      <c r="N260" s="505">
        <v>2</v>
      </c>
      <c r="O260" s="509">
        <v>100</v>
      </c>
      <c r="P260" s="136"/>
      <c r="Q260" s="506"/>
      <c r="R260" s="505"/>
      <c r="S260" s="579"/>
      <c r="T260" s="110"/>
    </row>
    <row r="261" spans="1:47" s="111" customFormat="1" x14ac:dyDescent="0.35">
      <c r="A261" s="576"/>
      <c r="B261" s="600"/>
      <c r="C261" s="507"/>
      <c r="D261" s="510"/>
      <c r="E261" s="505"/>
      <c r="F261" s="505"/>
      <c r="G261" s="505"/>
      <c r="H261" s="509"/>
      <c r="I261" s="114"/>
      <c r="J261" s="118" t="s">
        <v>39</v>
      </c>
      <c r="K261" s="116" t="s">
        <v>313</v>
      </c>
      <c r="L261" s="114" t="s">
        <v>38</v>
      </c>
      <c r="M261" s="505">
        <v>4</v>
      </c>
      <c r="N261" s="505">
        <v>4</v>
      </c>
      <c r="O261" s="509">
        <f>IF(N261/M261*100&gt;110,110,N261/M261*100)</f>
        <v>100</v>
      </c>
      <c r="P261" s="136"/>
      <c r="Q261" s="506"/>
      <c r="R261" s="505"/>
      <c r="S261" s="579"/>
      <c r="T261" s="110"/>
    </row>
    <row r="262" spans="1:47" s="124" customFormat="1" ht="54.75" customHeight="1" x14ac:dyDescent="0.35">
      <c r="A262" s="576"/>
      <c r="B262" s="600"/>
      <c r="C262" s="182"/>
      <c r="D262" s="183" t="s">
        <v>6</v>
      </c>
      <c r="E262" s="184"/>
      <c r="F262" s="185"/>
      <c r="G262" s="186"/>
      <c r="H262" s="187"/>
      <c r="I262" s="187">
        <f>(H259+H260)/2</f>
        <v>100</v>
      </c>
      <c r="J262" s="184"/>
      <c r="K262" s="183" t="s">
        <v>6</v>
      </c>
      <c r="L262" s="184"/>
      <c r="M262" s="188"/>
      <c r="N262" s="188"/>
      <c r="O262" s="187"/>
      <c r="P262" s="187">
        <f>(O259+O260+O261)/3</f>
        <v>100</v>
      </c>
      <c r="Q262" s="187">
        <f>(I262+P262)/2</f>
        <v>100</v>
      </c>
      <c r="R262" s="191" t="s">
        <v>31</v>
      </c>
      <c r="S262" s="579"/>
      <c r="T262" s="110"/>
      <c r="U262" s="189"/>
    </row>
    <row r="263" spans="1:47" s="111" customFormat="1" ht="70.5" customHeight="1" x14ac:dyDescent="0.35">
      <c r="A263" s="576">
        <v>25</v>
      </c>
      <c r="B263" s="600" t="s">
        <v>115</v>
      </c>
      <c r="C263" s="500" t="s">
        <v>12</v>
      </c>
      <c r="D263" s="112" t="s">
        <v>87</v>
      </c>
      <c r="E263" s="120"/>
      <c r="F263" s="120"/>
      <c r="G263" s="120"/>
      <c r="H263" s="506"/>
      <c r="I263" s="506"/>
      <c r="J263" s="120" t="s">
        <v>12</v>
      </c>
      <c r="K263" s="135" t="s">
        <v>87</v>
      </c>
      <c r="L263" s="505"/>
      <c r="M263" s="505"/>
      <c r="N263" s="505"/>
      <c r="O263" s="506"/>
      <c r="P263" s="136"/>
      <c r="Q263" s="506"/>
      <c r="R263" s="505"/>
      <c r="S263" s="579" t="s">
        <v>279</v>
      </c>
      <c r="T263" s="110"/>
    </row>
    <row r="264" spans="1:47" s="111" customFormat="1" ht="69.75" customHeight="1" x14ac:dyDescent="0.35">
      <c r="A264" s="576"/>
      <c r="B264" s="600"/>
      <c r="C264" s="507" t="s">
        <v>7</v>
      </c>
      <c r="D264" s="510" t="s">
        <v>88</v>
      </c>
      <c r="E264" s="505" t="s">
        <v>25</v>
      </c>
      <c r="F264" s="505">
        <v>95</v>
      </c>
      <c r="G264" s="505">
        <v>99</v>
      </c>
      <c r="H264" s="509">
        <f>IF(G264/F264*100&gt;100,100,G264/F264*100)</f>
        <v>100</v>
      </c>
      <c r="I264" s="505"/>
      <c r="J264" s="505" t="s">
        <v>7</v>
      </c>
      <c r="K264" s="508" t="s">
        <v>316</v>
      </c>
      <c r="L264" s="505" t="s">
        <v>38</v>
      </c>
      <c r="M264" s="505">
        <v>68</v>
      </c>
      <c r="N264" s="505">
        <v>68</v>
      </c>
      <c r="O264" s="509">
        <f>IF(N264/M264*100&gt;110,110,N264/M264*100)</f>
        <v>100</v>
      </c>
      <c r="P264" s="136"/>
      <c r="Q264" s="506"/>
      <c r="R264" s="505"/>
      <c r="S264" s="579"/>
      <c r="T264" s="110"/>
    </row>
    <row r="265" spans="1:47" s="111" customFormat="1" ht="69.75" customHeight="1" x14ac:dyDescent="0.35">
      <c r="A265" s="576"/>
      <c r="B265" s="600"/>
      <c r="C265" s="507"/>
      <c r="D265" s="510"/>
      <c r="E265" s="505"/>
      <c r="F265" s="505"/>
      <c r="G265" s="505"/>
      <c r="H265" s="509"/>
      <c r="I265" s="505"/>
      <c r="J265" s="505" t="s">
        <v>8</v>
      </c>
      <c r="K265" s="508" t="s">
        <v>312</v>
      </c>
      <c r="L265" s="505" t="s">
        <v>38</v>
      </c>
      <c r="M265" s="505">
        <v>117</v>
      </c>
      <c r="N265" s="505">
        <v>117</v>
      </c>
      <c r="O265" s="509">
        <f>IF(N265/M265*100&gt;110,110,N265/M265*100)</f>
        <v>100</v>
      </c>
      <c r="P265" s="136"/>
      <c r="Q265" s="506"/>
      <c r="R265" s="505"/>
      <c r="S265" s="579"/>
      <c r="T265" s="110"/>
    </row>
    <row r="266" spans="1:47" s="111" customFormat="1" ht="66.75" customHeight="1" x14ac:dyDescent="0.35">
      <c r="A266" s="576"/>
      <c r="B266" s="600"/>
      <c r="C266" s="507"/>
      <c r="D266" s="510"/>
      <c r="E266" s="505"/>
      <c r="F266" s="505"/>
      <c r="G266" s="505"/>
      <c r="H266" s="509"/>
      <c r="I266" s="505"/>
      <c r="J266" s="505" t="s">
        <v>9</v>
      </c>
      <c r="K266" s="508" t="s">
        <v>315</v>
      </c>
      <c r="L266" s="505" t="s">
        <v>38</v>
      </c>
      <c r="M266" s="505">
        <v>21</v>
      </c>
      <c r="N266" s="505">
        <v>21</v>
      </c>
      <c r="O266" s="509">
        <f>IF(N266/M266*100&gt;110,110,N266/M266*100)</f>
        <v>100</v>
      </c>
      <c r="P266" s="136"/>
      <c r="Q266" s="506"/>
      <c r="R266" s="505"/>
      <c r="S266" s="579"/>
      <c r="T266" s="110"/>
      <c r="U266" s="212"/>
      <c r="V266" s="212"/>
      <c r="W266" s="212"/>
      <c r="X266" s="212"/>
      <c r="Y266" s="212"/>
      <c r="Z266" s="212"/>
      <c r="AA266" s="212"/>
      <c r="AB266" s="212"/>
      <c r="AC266" s="212"/>
      <c r="AD266" s="212"/>
      <c r="AE266" s="212"/>
      <c r="AF266" s="212"/>
      <c r="AG266" s="212"/>
      <c r="AH266" s="212"/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</row>
    <row r="267" spans="1:47" s="124" customFormat="1" ht="54.75" customHeight="1" x14ac:dyDescent="0.35">
      <c r="A267" s="576"/>
      <c r="B267" s="600"/>
      <c r="C267" s="182"/>
      <c r="D267" s="183" t="s">
        <v>6</v>
      </c>
      <c r="E267" s="184"/>
      <c r="F267" s="185"/>
      <c r="G267" s="186"/>
      <c r="H267" s="187"/>
      <c r="I267" s="187">
        <f>H264</f>
        <v>100</v>
      </c>
      <c r="J267" s="184"/>
      <c r="K267" s="183" t="s">
        <v>6</v>
      </c>
      <c r="L267" s="184"/>
      <c r="M267" s="188"/>
      <c r="N267" s="188"/>
      <c r="O267" s="187"/>
      <c r="P267" s="187">
        <f>(O266+O264+O265)/3</f>
        <v>100</v>
      </c>
      <c r="Q267" s="187">
        <f>(I267+P267)/2</f>
        <v>100</v>
      </c>
      <c r="R267" s="191" t="s">
        <v>31</v>
      </c>
      <c r="S267" s="579"/>
      <c r="T267" s="110"/>
      <c r="U267" s="194"/>
      <c r="V267" s="212"/>
      <c r="W267" s="212"/>
      <c r="X267" s="212"/>
      <c r="Y267" s="212"/>
      <c r="Z267" s="212"/>
      <c r="AA267" s="212"/>
      <c r="AB267" s="212"/>
      <c r="AC267" s="212"/>
      <c r="AD267" s="212"/>
      <c r="AE267" s="212"/>
      <c r="AF267" s="212"/>
      <c r="AG267" s="212"/>
      <c r="AH267" s="212"/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</row>
    <row r="268" spans="1:47" s="111" customFormat="1" ht="45.75" customHeight="1" x14ac:dyDescent="0.35">
      <c r="A268" s="576"/>
      <c r="B268" s="600"/>
      <c r="C268" s="500" t="s">
        <v>13</v>
      </c>
      <c r="D268" s="112" t="s">
        <v>90</v>
      </c>
      <c r="E268" s="505"/>
      <c r="F268" s="505"/>
      <c r="G268" s="505"/>
      <c r="H268" s="506"/>
      <c r="I268" s="506"/>
      <c r="J268" s="120" t="s">
        <v>13</v>
      </c>
      <c r="K268" s="135" t="s">
        <v>90</v>
      </c>
      <c r="L268" s="505"/>
      <c r="M268" s="138"/>
      <c r="N268" s="138"/>
      <c r="O268" s="506"/>
      <c r="P268" s="136"/>
      <c r="Q268" s="506"/>
      <c r="R268" s="505"/>
      <c r="S268" s="579"/>
      <c r="T268" s="110"/>
      <c r="U268" s="212"/>
      <c r="V268" s="212"/>
      <c r="W268" s="212"/>
      <c r="X268" s="212"/>
      <c r="Y268" s="212"/>
      <c r="Z268" s="212"/>
      <c r="AA268" s="212"/>
      <c r="AB268" s="212"/>
      <c r="AC268" s="212"/>
      <c r="AD268" s="212"/>
      <c r="AE268" s="212"/>
      <c r="AF268" s="212"/>
      <c r="AG268" s="212"/>
      <c r="AH268" s="212"/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</row>
    <row r="269" spans="1:47" s="111" customFormat="1" ht="69.75" x14ac:dyDescent="0.35">
      <c r="A269" s="576"/>
      <c r="B269" s="600"/>
      <c r="C269" s="507" t="s">
        <v>14</v>
      </c>
      <c r="D269" s="510" t="s">
        <v>88</v>
      </c>
      <c r="E269" s="505" t="s">
        <v>25</v>
      </c>
      <c r="F269" s="505">
        <v>95</v>
      </c>
      <c r="G269" s="505">
        <v>99</v>
      </c>
      <c r="H269" s="509">
        <f>IF(G269/F269*100&gt;100,100,G269/F269*100)</f>
        <v>100</v>
      </c>
      <c r="I269" s="505"/>
      <c r="J269" s="139" t="s">
        <v>14</v>
      </c>
      <c r="K269" s="508" t="s">
        <v>320</v>
      </c>
      <c r="L269" s="505" t="s">
        <v>38</v>
      </c>
      <c r="M269" s="505">
        <v>200</v>
      </c>
      <c r="N269" s="505">
        <v>200</v>
      </c>
      <c r="O269" s="509">
        <f>IF(N269/M269*100&gt;110,110,N269/M269*100)</f>
        <v>100</v>
      </c>
      <c r="P269" s="136"/>
      <c r="Q269" s="506"/>
      <c r="R269" s="505"/>
      <c r="S269" s="579"/>
      <c r="T269" s="110"/>
      <c r="U269" s="212"/>
      <c r="V269" s="212"/>
      <c r="W269" s="212"/>
      <c r="X269" s="212"/>
      <c r="Y269" s="212"/>
      <c r="Z269" s="212"/>
      <c r="AA269" s="212"/>
      <c r="AB269" s="212"/>
      <c r="AC269" s="212"/>
      <c r="AD269" s="212"/>
      <c r="AE269" s="212"/>
      <c r="AF269" s="212"/>
      <c r="AG269" s="212"/>
      <c r="AH269" s="212"/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</row>
    <row r="270" spans="1:47" s="111" customFormat="1" ht="69.75" x14ac:dyDescent="0.35">
      <c r="A270" s="576"/>
      <c r="B270" s="600"/>
      <c r="C270" s="507" t="s">
        <v>15</v>
      </c>
      <c r="D270" s="510" t="s">
        <v>91</v>
      </c>
      <c r="E270" s="505" t="s">
        <v>92</v>
      </c>
      <c r="F270" s="505">
        <v>35</v>
      </c>
      <c r="G270" s="505">
        <v>30.76</v>
      </c>
      <c r="H270" s="509">
        <f t="shared" si="4"/>
        <v>100</v>
      </c>
      <c r="I270" s="505"/>
      <c r="J270" s="139" t="s">
        <v>15</v>
      </c>
      <c r="K270" s="508" t="s">
        <v>463</v>
      </c>
      <c r="L270" s="505" t="s">
        <v>38</v>
      </c>
      <c r="M270" s="505">
        <v>1</v>
      </c>
      <c r="N270" s="505">
        <v>1</v>
      </c>
      <c r="O270" s="509">
        <f>IF(N270/M270*100&gt;110,110,N270/M270*100)</f>
        <v>100</v>
      </c>
      <c r="P270" s="136"/>
      <c r="Q270" s="506"/>
      <c r="R270" s="505"/>
      <c r="S270" s="579"/>
      <c r="T270" s="110"/>
      <c r="U270" s="212"/>
      <c r="V270" s="212"/>
      <c r="W270" s="212"/>
      <c r="X270" s="212"/>
      <c r="Y270" s="212"/>
      <c r="Z270" s="212"/>
      <c r="AA270" s="212"/>
      <c r="AB270" s="212"/>
      <c r="AC270" s="212"/>
      <c r="AD270" s="212"/>
      <c r="AE270" s="212"/>
      <c r="AF270" s="212"/>
      <c r="AG270" s="212"/>
      <c r="AH270" s="212"/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</row>
    <row r="271" spans="1:47" s="111" customFormat="1" x14ac:dyDescent="0.35">
      <c r="A271" s="576"/>
      <c r="B271" s="600"/>
      <c r="C271" s="507"/>
      <c r="D271" s="510"/>
      <c r="E271" s="505"/>
      <c r="F271" s="505"/>
      <c r="G271" s="505"/>
      <c r="H271" s="509"/>
      <c r="I271" s="505"/>
      <c r="J271" s="139" t="s">
        <v>39</v>
      </c>
      <c r="K271" s="508" t="s">
        <v>313</v>
      </c>
      <c r="L271" s="505" t="s">
        <v>38</v>
      </c>
      <c r="M271" s="505">
        <v>5</v>
      </c>
      <c r="N271" s="505">
        <v>5</v>
      </c>
      <c r="O271" s="509">
        <f>IF(N271/M271*100&gt;110,110,N271/M271*100)</f>
        <v>100</v>
      </c>
      <c r="P271" s="136"/>
      <c r="Q271" s="506"/>
      <c r="R271" s="505"/>
      <c r="S271" s="579"/>
      <c r="T271" s="110"/>
      <c r="U271" s="212"/>
      <c r="V271" s="212"/>
      <c r="W271" s="212"/>
      <c r="X271" s="212"/>
      <c r="Y271" s="212"/>
      <c r="Z271" s="212"/>
      <c r="AA271" s="212"/>
      <c r="AB271" s="212"/>
      <c r="AC271" s="212"/>
      <c r="AD271" s="212"/>
      <c r="AE271" s="212"/>
      <c r="AF271" s="212"/>
      <c r="AG271" s="212"/>
      <c r="AH271" s="212"/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</row>
    <row r="272" spans="1:47" s="124" customFormat="1" ht="54.75" customHeight="1" x14ac:dyDescent="0.35">
      <c r="A272" s="576"/>
      <c r="B272" s="600"/>
      <c r="C272" s="182"/>
      <c r="D272" s="183" t="s">
        <v>6</v>
      </c>
      <c r="E272" s="184"/>
      <c r="F272" s="185"/>
      <c r="G272" s="186"/>
      <c r="H272" s="187"/>
      <c r="I272" s="187">
        <f>(H269+H270)/2</f>
        <v>100</v>
      </c>
      <c r="J272" s="184"/>
      <c r="K272" s="183" t="s">
        <v>6</v>
      </c>
      <c r="L272" s="184"/>
      <c r="M272" s="188"/>
      <c r="N272" s="188"/>
      <c r="O272" s="187"/>
      <c r="P272" s="187">
        <f>(O271+O270+O269)/3</f>
        <v>100</v>
      </c>
      <c r="Q272" s="187">
        <f>(I272+P272)/2</f>
        <v>100</v>
      </c>
      <c r="R272" s="191" t="s">
        <v>31</v>
      </c>
      <c r="S272" s="579"/>
      <c r="T272" s="110"/>
      <c r="U272" s="194"/>
      <c r="V272" s="212"/>
      <c r="W272" s="212"/>
      <c r="X272" s="212"/>
      <c r="Y272" s="212"/>
      <c r="Z272" s="212"/>
      <c r="AA272" s="212"/>
      <c r="AB272" s="212"/>
      <c r="AC272" s="212"/>
      <c r="AD272" s="212"/>
      <c r="AE272" s="212"/>
      <c r="AF272" s="212"/>
      <c r="AG272" s="212"/>
      <c r="AH272" s="212"/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</row>
    <row r="273" spans="1:47" s="111" customFormat="1" ht="82.5" customHeight="1" x14ac:dyDescent="0.35">
      <c r="A273" s="576">
        <v>26</v>
      </c>
      <c r="B273" s="600" t="s">
        <v>116</v>
      </c>
      <c r="C273" s="500" t="s">
        <v>12</v>
      </c>
      <c r="D273" s="112" t="s">
        <v>87</v>
      </c>
      <c r="E273" s="120"/>
      <c r="F273" s="120"/>
      <c r="G273" s="120"/>
      <c r="H273" s="506"/>
      <c r="I273" s="113"/>
      <c r="J273" s="502" t="s">
        <v>12</v>
      </c>
      <c r="K273" s="112" t="s">
        <v>87</v>
      </c>
      <c r="L273" s="114"/>
      <c r="M273" s="505"/>
      <c r="N273" s="505"/>
      <c r="O273" s="506"/>
      <c r="P273" s="136"/>
      <c r="Q273" s="506"/>
      <c r="R273" s="507"/>
      <c r="S273" s="579" t="s">
        <v>279</v>
      </c>
      <c r="T273" s="110"/>
      <c r="U273" s="212"/>
      <c r="V273" s="212"/>
      <c r="W273" s="212"/>
      <c r="X273" s="212"/>
      <c r="Y273" s="212"/>
      <c r="Z273" s="212"/>
      <c r="AA273" s="212"/>
      <c r="AB273" s="212"/>
      <c r="AC273" s="212"/>
      <c r="AD273" s="212"/>
      <c r="AE273" s="212"/>
      <c r="AF273" s="212"/>
      <c r="AG273" s="212"/>
      <c r="AH273" s="212"/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</row>
    <row r="274" spans="1:47" s="111" customFormat="1" ht="69.75" x14ac:dyDescent="0.35">
      <c r="A274" s="576"/>
      <c r="B274" s="600"/>
      <c r="C274" s="507" t="s">
        <v>7</v>
      </c>
      <c r="D274" s="510" t="s">
        <v>88</v>
      </c>
      <c r="E274" s="505" t="s">
        <v>25</v>
      </c>
      <c r="F274" s="505">
        <v>95</v>
      </c>
      <c r="G274" s="505">
        <v>100</v>
      </c>
      <c r="H274" s="509">
        <f>IF(G274/F274*100&gt;100,100,G274/F274*100)</f>
        <v>100</v>
      </c>
      <c r="I274" s="114"/>
      <c r="J274" s="114" t="s">
        <v>7</v>
      </c>
      <c r="K274" s="116" t="s">
        <v>316</v>
      </c>
      <c r="L274" s="114" t="s">
        <v>38</v>
      </c>
      <c r="M274" s="505">
        <v>65</v>
      </c>
      <c r="N274" s="505">
        <v>65</v>
      </c>
      <c r="O274" s="509">
        <f>IF(N274/M274*100&gt;110,110,N274/M274*100)</f>
        <v>100</v>
      </c>
      <c r="P274" s="136"/>
      <c r="Q274" s="506"/>
      <c r="R274" s="505"/>
      <c r="S274" s="579"/>
      <c r="T274" s="110"/>
    </row>
    <row r="275" spans="1:47" s="111" customFormat="1" ht="73.5" customHeight="1" x14ac:dyDescent="0.35">
      <c r="A275" s="576"/>
      <c r="B275" s="600"/>
      <c r="C275" s="507"/>
      <c r="D275" s="510"/>
      <c r="E275" s="505"/>
      <c r="F275" s="505"/>
      <c r="G275" s="505"/>
      <c r="H275" s="509"/>
      <c r="I275" s="114"/>
      <c r="J275" s="114" t="s">
        <v>8</v>
      </c>
      <c r="K275" s="116" t="s">
        <v>312</v>
      </c>
      <c r="L275" s="114" t="s">
        <v>38</v>
      </c>
      <c r="M275" s="505">
        <v>181</v>
      </c>
      <c r="N275" s="505">
        <v>181</v>
      </c>
      <c r="O275" s="509">
        <f>IF(N275/M275*100&gt;110,110,N275/M275*100)</f>
        <v>100</v>
      </c>
      <c r="P275" s="136"/>
      <c r="Q275" s="506"/>
      <c r="R275" s="505"/>
      <c r="S275" s="579"/>
      <c r="T275" s="110"/>
    </row>
    <row r="276" spans="1:47" s="111" customFormat="1" ht="33" customHeight="1" x14ac:dyDescent="0.35">
      <c r="A276" s="576"/>
      <c r="B276" s="600"/>
      <c r="C276" s="507"/>
      <c r="D276" s="510"/>
      <c r="E276" s="505"/>
      <c r="F276" s="505"/>
      <c r="G276" s="505"/>
      <c r="H276" s="509"/>
      <c r="I276" s="114"/>
      <c r="J276" s="114" t="s">
        <v>9</v>
      </c>
      <c r="K276" s="116" t="s">
        <v>322</v>
      </c>
      <c r="L276" s="114" t="s">
        <v>38</v>
      </c>
      <c r="M276" s="505">
        <v>30</v>
      </c>
      <c r="N276" s="505">
        <v>30</v>
      </c>
      <c r="O276" s="509">
        <f>IF(N276/M276*100&gt;110,110,N276/M276*100)</f>
        <v>100</v>
      </c>
      <c r="P276" s="136"/>
      <c r="Q276" s="506"/>
      <c r="R276" s="505"/>
      <c r="S276" s="579"/>
      <c r="T276" s="110"/>
    </row>
    <row r="277" spans="1:47" s="124" customFormat="1" ht="39.75" customHeight="1" x14ac:dyDescent="0.35">
      <c r="A277" s="576"/>
      <c r="B277" s="600"/>
      <c r="C277" s="182"/>
      <c r="D277" s="183" t="s">
        <v>6</v>
      </c>
      <c r="E277" s="184"/>
      <c r="F277" s="185"/>
      <c r="G277" s="186"/>
      <c r="H277" s="187"/>
      <c r="I277" s="187">
        <f>H274</f>
        <v>100</v>
      </c>
      <c r="J277" s="184"/>
      <c r="K277" s="183" t="s">
        <v>6</v>
      </c>
      <c r="L277" s="184"/>
      <c r="M277" s="188"/>
      <c r="N277" s="188"/>
      <c r="O277" s="187"/>
      <c r="P277" s="187">
        <f>(O276+O274+O275)/3</f>
        <v>100</v>
      </c>
      <c r="Q277" s="187">
        <f>(I277+P277)/2</f>
        <v>100</v>
      </c>
      <c r="R277" s="191" t="s">
        <v>31</v>
      </c>
      <c r="S277" s="579"/>
      <c r="T277" s="110"/>
      <c r="U277" s="189"/>
    </row>
    <row r="278" spans="1:47" s="111" customFormat="1" ht="48" customHeight="1" x14ac:dyDescent="0.35">
      <c r="A278" s="576"/>
      <c r="B278" s="600"/>
      <c r="C278" s="500" t="s">
        <v>13</v>
      </c>
      <c r="D278" s="112" t="s">
        <v>90</v>
      </c>
      <c r="E278" s="505"/>
      <c r="F278" s="505"/>
      <c r="G278" s="505"/>
      <c r="H278" s="506"/>
      <c r="I278" s="113"/>
      <c r="J278" s="500" t="s">
        <v>13</v>
      </c>
      <c r="K278" s="112" t="s">
        <v>90</v>
      </c>
      <c r="L278" s="114"/>
      <c r="M278" s="138"/>
      <c r="N278" s="138"/>
      <c r="O278" s="506"/>
      <c r="P278" s="136"/>
      <c r="Q278" s="506"/>
      <c r="R278" s="507"/>
      <c r="S278" s="579"/>
      <c r="T278" s="110"/>
    </row>
    <row r="279" spans="1:47" s="111" customFormat="1" ht="69.75" x14ac:dyDescent="0.35">
      <c r="A279" s="576"/>
      <c r="B279" s="600"/>
      <c r="C279" s="507" t="s">
        <v>14</v>
      </c>
      <c r="D279" s="510" t="s">
        <v>88</v>
      </c>
      <c r="E279" s="505" t="s">
        <v>25</v>
      </c>
      <c r="F279" s="505">
        <v>95</v>
      </c>
      <c r="G279" s="505">
        <v>100</v>
      </c>
      <c r="H279" s="509">
        <f>IF(G279/F279*100&gt;100,100,G279/F279*100)</f>
        <v>100</v>
      </c>
      <c r="I279" s="114"/>
      <c r="J279" s="596" t="s">
        <v>14</v>
      </c>
      <c r="K279" s="596" t="s">
        <v>312</v>
      </c>
      <c r="L279" s="596" t="s">
        <v>38</v>
      </c>
      <c r="M279" s="592">
        <v>276</v>
      </c>
      <c r="N279" s="592">
        <v>276</v>
      </c>
      <c r="O279" s="586">
        <f>IF(N279/M279*100&gt;110,110,N279/M279*100)</f>
        <v>100</v>
      </c>
      <c r="P279" s="588"/>
      <c r="Q279" s="590"/>
      <c r="R279" s="592"/>
      <c r="S279" s="579"/>
      <c r="T279" s="110"/>
    </row>
    <row r="280" spans="1:47" s="111" customFormat="1" ht="69.75" x14ac:dyDescent="0.35">
      <c r="A280" s="576"/>
      <c r="B280" s="600"/>
      <c r="C280" s="507" t="s">
        <v>15</v>
      </c>
      <c r="D280" s="510" t="s">
        <v>91</v>
      </c>
      <c r="E280" s="505" t="s">
        <v>92</v>
      </c>
      <c r="F280" s="505">
        <v>35</v>
      </c>
      <c r="G280" s="505">
        <v>18.5</v>
      </c>
      <c r="H280" s="509">
        <f t="shared" si="4"/>
        <v>100</v>
      </c>
      <c r="I280" s="114"/>
      <c r="J280" s="597"/>
      <c r="K280" s="597"/>
      <c r="L280" s="597"/>
      <c r="M280" s="593"/>
      <c r="N280" s="593"/>
      <c r="O280" s="587"/>
      <c r="P280" s="589"/>
      <c r="Q280" s="591"/>
      <c r="R280" s="593"/>
      <c r="S280" s="579"/>
      <c r="T280" s="110"/>
    </row>
    <row r="281" spans="1:47" s="124" customFormat="1" ht="54.75" customHeight="1" x14ac:dyDescent="0.35">
      <c r="A281" s="576"/>
      <c r="B281" s="600"/>
      <c r="C281" s="182"/>
      <c r="D281" s="183" t="s">
        <v>6</v>
      </c>
      <c r="E281" s="184"/>
      <c r="F281" s="185"/>
      <c r="G281" s="186"/>
      <c r="H281" s="187"/>
      <c r="I281" s="187">
        <f>(H279+H280)/2</f>
        <v>100</v>
      </c>
      <c r="J281" s="184"/>
      <c r="K281" s="183" t="s">
        <v>6</v>
      </c>
      <c r="L281" s="184"/>
      <c r="M281" s="188"/>
      <c r="N281" s="188"/>
      <c r="O281" s="187"/>
      <c r="P281" s="187">
        <f>O279/1</f>
        <v>100</v>
      </c>
      <c r="Q281" s="187">
        <f>(I281+P281)/2</f>
        <v>100</v>
      </c>
      <c r="R281" s="191" t="s">
        <v>31</v>
      </c>
      <c r="S281" s="579"/>
      <c r="T281" s="110"/>
      <c r="U281" s="189"/>
    </row>
    <row r="282" spans="1:47" s="111" customFormat="1" ht="105.75" customHeight="1" x14ac:dyDescent="0.35">
      <c r="A282" s="576"/>
      <c r="B282" s="600"/>
      <c r="C282" s="500" t="s">
        <v>28</v>
      </c>
      <c r="D282" s="112" t="s">
        <v>380</v>
      </c>
      <c r="E282" s="505"/>
      <c r="F282" s="505"/>
      <c r="G282" s="505"/>
      <c r="H282" s="506"/>
      <c r="I282" s="113"/>
      <c r="J282" s="500" t="s">
        <v>28</v>
      </c>
      <c r="K282" s="112" t="str">
        <f>D282</f>
        <v>Предоставление консультационных и методических услуг</v>
      </c>
      <c r="L282" s="114"/>
      <c r="M282" s="140"/>
      <c r="N282" s="140"/>
      <c r="O282" s="506"/>
      <c r="P282" s="136"/>
      <c r="Q282" s="506"/>
      <c r="R282" s="507"/>
      <c r="S282" s="579"/>
      <c r="T282" s="110"/>
    </row>
    <row r="283" spans="1:47" s="111" customFormat="1" ht="72" customHeight="1" x14ac:dyDescent="0.35">
      <c r="A283" s="576"/>
      <c r="B283" s="600"/>
      <c r="C283" s="507" t="s">
        <v>29</v>
      </c>
      <c r="D283" s="510" t="s">
        <v>314</v>
      </c>
      <c r="E283" s="505" t="s">
        <v>38</v>
      </c>
      <c r="F283" s="505">
        <v>50</v>
      </c>
      <c r="G283" s="505">
        <v>50</v>
      </c>
      <c r="H283" s="509">
        <f t="shared" si="4"/>
        <v>100</v>
      </c>
      <c r="I283" s="114"/>
      <c r="J283" s="118" t="s">
        <v>29</v>
      </c>
      <c r="K283" s="116" t="s">
        <v>93</v>
      </c>
      <c r="L283" s="114" t="s">
        <v>36</v>
      </c>
      <c r="M283" s="325">
        <v>100</v>
      </c>
      <c r="N283" s="325">
        <v>100</v>
      </c>
      <c r="O283" s="326">
        <f>IF(N283/M283*100&gt;110,110,N283/M283*100)</f>
        <v>100</v>
      </c>
      <c r="P283" s="136"/>
      <c r="Q283" s="506"/>
      <c r="R283" s="505"/>
      <c r="S283" s="579"/>
      <c r="T283" s="110"/>
    </row>
    <row r="284" spans="1:47" s="124" customFormat="1" ht="43.5" customHeight="1" x14ac:dyDescent="0.35">
      <c r="A284" s="576"/>
      <c r="B284" s="600"/>
      <c r="C284" s="191"/>
      <c r="D284" s="183" t="s">
        <v>6</v>
      </c>
      <c r="E284" s="191"/>
      <c r="F284" s="184"/>
      <c r="G284" s="184"/>
      <c r="H284" s="187"/>
      <c r="I284" s="187">
        <f>H283</f>
        <v>100</v>
      </c>
      <c r="J284" s="182"/>
      <c r="K284" s="183" t="s">
        <v>6</v>
      </c>
      <c r="L284" s="184"/>
      <c r="M284" s="188"/>
      <c r="N284" s="188"/>
      <c r="O284" s="187"/>
      <c r="P284" s="187">
        <f>O283</f>
        <v>100</v>
      </c>
      <c r="Q284" s="187">
        <f>(I284+P284)/2</f>
        <v>100</v>
      </c>
      <c r="R284" s="191" t="s">
        <v>31</v>
      </c>
      <c r="S284" s="579"/>
      <c r="T284" s="110"/>
    </row>
    <row r="285" spans="1:47" s="111" customFormat="1" ht="72.75" customHeight="1" x14ac:dyDescent="0.35">
      <c r="A285" s="576">
        <v>27</v>
      </c>
      <c r="B285" s="600" t="s">
        <v>117</v>
      </c>
      <c r="C285" s="500" t="s">
        <v>12</v>
      </c>
      <c r="D285" s="112" t="s">
        <v>87</v>
      </c>
      <c r="E285" s="120"/>
      <c r="F285" s="120"/>
      <c r="G285" s="120"/>
      <c r="H285" s="506"/>
      <c r="I285" s="506"/>
      <c r="J285" s="120" t="s">
        <v>12</v>
      </c>
      <c r="K285" s="135" t="s">
        <v>87</v>
      </c>
      <c r="L285" s="505"/>
      <c r="M285" s="505"/>
      <c r="N285" s="505"/>
      <c r="O285" s="506"/>
      <c r="P285" s="136"/>
      <c r="Q285" s="506"/>
      <c r="R285" s="505"/>
      <c r="S285" s="579" t="s">
        <v>279</v>
      </c>
      <c r="T285" s="110"/>
    </row>
    <row r="286" spans="1:47" s="111" customFormat="1" ht="69.75" customHeight="1" x14ac:dyDescent="0.35">
      <c r="A286" s="576"/>
      <c r="B286" s="600"/>
      <c r="C286" s="507" t="s">
        <v>7</v>
      </c>
      <c r="D286" s="510" t="s">
        <v>88</v>
      </c>
      <c r="E286" s="505" t="s">
        <v>25</v>
      </c>
      <c r="F286" s="505">
        <v>95</v>
      </c>
      <c r="G286" s="505">
        <v>96</v>
      </c>
      <c r="H286" s="509">
        <f>IF(G286/F286*100&gt;100,100,G286/F286*100)</f>
        <v>100</v>
      </c>
      <c r="I286" s="505"/>
      <c r="J286" s="505" t="s">
        <v>7</v>
      </c>
      <c r="K286" s="508" t="s">
        <v>316</v>
      </c>
      <c r="L286" s="505" t="s">
        <v>38</v>
      </c>
      <c r="M286" s="505">
        <v>85</v>
      </c>
      <c r="N286" s="505">
        <v>85</v>
      </c>
      <c r="O286" s="509">
        <f>IF(N286/M286*100&gt;110,110,N286/M286*100)</f>
        <v>100</v>
      </c>
      <c r="P286" s="136"/>
      <c r="Q286" s="506"/>
      <c r="R286" s="505"/>
      <c r="S286" s="579"/>
      <c r="T286" s="110"/>
    </row>
    <row r="287" spans="1:47" s="111" customFormat="1" ht="69.75" customHeight="1" x14ac:dyDescent="0.35">
      <c r="A287" s="576"/>
      <c r="B287" s="600"/>
      <c r="C287" s="507"/>
      <c r="D287" s="510"/>
      <c r="E287" s="505"/>
      <c r="F287" s="505"/>
      <c r="G287" s="505"/>
      <c r="H287" s="509"/>
      <c r="I287" s="505"/>
      <c r="J287" s="505" t="s">
        <v>8</v>
      </c>
      <c r="K287" s="508" t="s">
        <v>312</v>
      </c>
      <c r="L287" s="505" t="s">
        <v>38</v>
      </c>
      <c r="M287" s="505">
        <v>201</v>
      </c>
      <c r="N287" s="505">
        <v>201</v>
      </c>
      <c r="O287" s="509">
        <f>IF(N287/M287*100&gt;110,110,N287/M287*100)</f>
        <v>100</v>
      </c>
      <c r="P287" s="136"/>
      <c r="Q287" s="506"/>
      <c r="R287" s="505"/>
      <c r="S287" s="579"/>
      <c r="T287" s="110"/>
    </row>
    <row r="288" spans="1:47" s="111" customFormat="1" ht="57.75" customHeight="1" x14ac:dyDescent="0.35">
      <c r="A288" s="576"/>
      <c r="B288" s="600"/>
      <c r="C288" s="507"/>
      <c r="D288" s="510"/>
      <c r="E288" s="505"/>
      <c r="F288" s="505"/>
      <c r="G288" s="505"/>
      <c r="H288" s="509"/>
      <c r="I288" s="505"/>
      <c r="J288" s="505" t="s">
        <v>9</v>
      </c>
      <c r="K288" s="508" t="s">
        <v>321</v>
      </c>
      <c r="L288" s="505" t="s">
        <v>38</v>
      </c>
      <c r="M288" s="505">
        <v>30</v>
      </c>
      <c r="N288" s="505">
        <v>30</v>
      </c>
      <c r="O288" s="509">
        <f>IF(N288/M288*100&gt;110,110,N288/M288*100)</f>
        <v>100</v>
      </c>
      <c r="P288" s="136"/>
      <c r="Q288" s="506"/>
      <c r="R288" s="505"/>
      <c r="S288" s="579"/>
      <c r="T288" s="110"/>
    </row>
    <row r="289" spans="1:21" s="124" customFormat="1" ht="39.75" customHeight="1" x14ac:dyDescent="0.35">
      <c r="A289" s="576"/>
      <c r="B289" s="600"/>
      <c r="C289" s="182"/>
      <c r="D289" s="183" t="s">
        <v>6</v>
      </c>
      <c r="E289" s="184"/>
      <c r="F289" s="185"/>
      <c r="G289" s="186"/>
      <c r="H289" s="187"/>
      <c r="I289" s="187">
        <f>H286</f>
        <v>100</v>
      </c>
      <c r="J289" s="184"/>
      <c r="K289" s="183" t="s">
        <v>6</v>
      </c>
      <c r="L289" s="184"/>
      <c r="M289" s="188"/>
      <c r="N289" s="188"/>
      <c r="O289" s="187"/>
      <c r="P289" s="187">
        <f>(O286+O287+O288)/3</f>
        <v>100</v>
      </c>
      <c r="Q289" s="187">
        <f>(I289+P289)/2</f>
        <v>100</v>
      </c>
      <c r="R289" s="191" t="s">
        <v>31</v>
      </c>
      <c r="S289" s="579"/>
      <c r="T289" s="110"/>
      <c r="U289" s="189"/>
    </row>
    <row r="290" spans="1:21" s="111" customFormat="1" ht="39" customHeight="1" x14ac:dyDescent="0.35">
      <c r="A290" s="576"/>
      <c r="B290" s="600"/>
      <c r="C290" s="500" t="s">
        <v>13</v>
      </c>
      <c r="D290" s="112" t="s">
        <v>90</v>
      </c>
      <c r="E290" s="505"/>
      <c r="F290" s="505"/>
      <c r="G290" s="505"/>
      <c r="H290" s="506"/>
      <c r="I290" s="506"/>
      <c r="J290" s="120" t="s">
        <v>13</v>
      </c>
      <c r="K290" s="135" t="s">
        <v>90</v>
      </c>
      <c r="L290" s="505"/>
      <c r="M290" s="138"/>
      <c r="N290" s="138"/>
      <c r="O290" s="506"/>
      <c r="P290" s="136"/>
      <c r="Q290" s="506"/>
      <c r="R290" s="505"/>
      <c r="S290" s="579"/>
      <c r="T290" s="110"/>
    </row>
    <row r="291" spans="1:21" s="111" customFormat="1" ht="69.75" x14ac:dyDescent="0.35">
      <c r="A291" s="576"/>
      <c r="B291" s="600"/>
      <c r="C291" s="507" t="s">
        <v>14</v>
      </c>
      <c r="D291" s="510" t="s">
        <v>88</v>
      </c>
      <c r="E291" s="505" t="s">
        <v>25</v>
      </c>
      <c r="F291" s="505">
        <v>95</v>
      </c>
      <c r="G291" s="505">
        <v>98</v>
      </c>
      <c r="H291" s="509">
        <f>IF(G291/F291*100&gt;100,100,G291/F291*100)</f>
        <v>100</v>
      </c>
      <c r="I291" s="505"/>
      <c r="J291" s="139" t="s">
        <v>14</v>
      </c>
      <c r="K291" s="508" t="s">
        <v>317</v>
      </c>
      <c r="L291" s="505" t="s">
        <v>38</v>
      </c>
      <c r="M291" s="505">
        <v>310</v>
      </c>
      <c r="N291" s="505">
        <v>310</v>
      </c>
      <c r="O291" s="509">
        <f>IF(N291/M291*100&gt;110,110,N291/M291*100)</f>
        <v>100</v>
      </c>
      <c r="P291" s="136"/>
      <c r="Q291" s="506"/>
      <c r="R291" s="505"/>
      <c r="S291" s="579"/>
      <c r="T291" s="110"/>
    </row>
    <row r="292" spans="1:21" s="111" customFormat="1" ht="69.75" x14ac:dyDescent="0.35">
      <c r="A292" s="576"/>
      <c r="B292" s="600"/>
      <c r="C292" s="507" t="s">
        <v>15</v>
      </c>
      <c r="D292" s="510" t="s">
        <v>91</v>
      </c>
      <c r="E292" s="505" t="s">
        <v>92</v>
      </c>
      <c r="F292" s="505">
        <v>35</v>
      </c>
      <c r="G292" s="505">
        <v>25</v>
      </c>
      <c r="H292" s="509">
        <f t="shared" si="4"/>
        <v>100</v>
      </c>
      <c r="I292" s="505"/>
      <c r="J292" s="139" t="s">
        <v>15</v>
      </c>
      <c r="K292" s="508" t="s">
        <v>463</v>
      </c>
      <c r="L292" s="505" t="s">
        <v>38</v>
      </c>
      <c r="M292" s="505">
        <v>3</v>
      </c>
      <c r="N292" s="505">
        <v>3</v>
      </c>
      <c r="O292" s="509">
        <f>IF(N292/M292*100&gt;110,110,N292/M292*100)</f>
        <v>100</v>
      </c>
      <c r="P292" s="136"/>
      <c r="Q292" s="506"/>
      <c r="R292" s="505"/>
      <c r="S292" s="579"/>
      <c r="T292" s="110"/>
    </row>
    <row r="293" spans="1:21" s="111" customFormat="1" x14ac:dyDescent="0.35">
      <c r="A293" s="576"/>
      <c r="B293" s="600"/>
      <c r="C293" s="507"/>
      <c r="D293" s="510"/>
      <c r="E293" s="505"/>
      <c r="F293" s="505"/>
      <c r="G293" s="505"/>
      <c r="H293" s="509"/>
      <c r="I293" s="505"/>
      <c r="J293" s="139" t="s">
        <v>39</v>
      </c>
      <c r="K293" s="508" t="s">
        <v>313</v>
      </c>
      <c r="L293" s="505" t="s">
        <v>38</v>
      </c>
      <c r="M293" s="505">
        <v>3</v>
      </c>
      <c r="N293" s="505">
        <v>3</v>
      </c>
      <c r="O293" s="509">
        <f>IF(N293/M293*100&gt;110,110,N293/M293*100)</f>
        <v>100</v>
      </c>
      <c r="P293" s="136"/>
      <c r="Q293" s="506"/>
      <c r="R293" s="505"/>
      <c r="S293" s="579"/>
      <c r="T293" s="110"/>
    </row>
    <row r="294" spans="1:21" s="124" customFormat="1" ht="54.75" customHeight="1" x14ac:dyDescent="0.35">
      <c r="A294" s="576"/>
      <c r="B294" s="600"/>
      <c r="C294" s="182"/>
      <c r="D294" s="183" t="s">
        <v>6</v>
      </c>
      <c r="E294" s="184"/>
      <c r="F294" s="185"/>
      <c r="G294" s="186"/>
      <c r="H294" s="187"/>
      <c r="I294" s="187">
        <f>(H291+H292)/2</f>
        <v>100</v>
      </c>
      <c r="J294" s="184"/>
      <c r="K294" s="183" t="s">
        <v>6</v>
      </c>
      <c r="L294" s="184"/>
      <c r="M294" s="188"/>
      <c r="N294" s="188"/>
      <c r="O294" s="187"/>
      <c r="P294" s="187">
        <f>(O293+O291+O292)/3</f>
        <v>100</v>
      </c>
      <c r="Q294" s="187">
        <f>(I294+P294)/2</f>
        <v>100</v>
      </c>
      <c r="R294" s="191" t="s">
        <v>31</v>
      </c>
      <c r="S294" s="579"/>
      <c r="T294" s="110"/>
      <c r="U294" s="189"/>
    </row>
    <row r="295" spans="1:21" s="111" customFormat="1" ht="66" customHeight="1" x14ac:dyDescent="0.35">
      <c r="A295" s="576"/>
      <c r="B295" s="600"/>
      <c r="C295" s="500" t="s">
        <v>28</v>
      </c>
      <c r="D295" s="112" t="s">
        <v>380</v>
      </c>
      <c r="E295" s="505"/>
      <c r="F295" s="505"/>
      <c r="G295" s="505"/>
      <c r="H295" s="506"/>
      <c r="I295" s="506"/>
      <c r="J295" s="120" t="s">
        <v>28</v>
      </c>
      <c r="K295" s="135" t="str">
        <f>D295</f>
        <v>Предоставление консультационных и методических услуг</v>
      </c>
      <c r="L295" s="505"/>
      <c r="M295" s="140"/>
      <c r="N295" s="140"/>
      <c r="O295" s="506"/>
      <c r="P295" s="136"/>
      <c r="Q295" s="506"/>
      <c r="R295" s="505"/>
      <c r="S295" s="579"/>
      <c r="T295" s="110"/>
    </row>
    <row r="296" spans="1:21" s="111" customFormat="1" ht="66" customHeight="1" x14ac:dyDescent="0.35">
      <c r="A296" s="576"/>
      <c r="B296" s="600"/>
      <c r="C296" s="507" t="s">
        <v>29</v>
      </c>
      <c r="D296" s="510" t="s">
        <v>323</v>
      </c>
      <c r="E296" s="505" t="s">
        <v>38</v>
      </c>
      <c r="F296" s="505">
        <v>50</v>
      </c>
      <c r="G296" s="505">
        <v>50</v>
      </c>
      <c r="H296" s="509">
        <f>IF(G296/F296*100&gt;100,100,G296/F296*100)</f>
        <v>100</v>
      </c>
      <c r="I296" s="505"/>
      <c r="J296" s="139" t="s">
        <v>29</v>
      </c>
      <c r="K296" s="508" t="s">
        <v>93</v>
      </c>
      <c r="L296" s="505" t="s">
        <v>36</v>
      </c>
      <c r="M296" s="505">
        <v>100</v>
      </c>
      <c r="N296" s="325">
        <v>100</v>
      </c>
      <c r="O296" s="509">
        <f>IF(N296/M296*100&gt;110,110,N296/M296*100)</f>
        <v>100</v>
      </c>
      <c r="P296" s="136"/>
      <c r="Q296" s="506"/>
      <c r="R296" s="505"/>
      <c r="S296" s="579"/>
      <c r="T296" s="110"/>
    </row>
    <row r="297" spans="1:21" s="124" customFormat="1" ht="39" customHeight="1" x14ac:dyDescent="0.35">
      <c r="A297" s="576"/>
      <c r="B297" s="600"/>
      <c r="C297" s="191"/>
      <c r="D297" s="183" t="s">
        <v>6</v>
      </c>
      <c r="E297" s="191"/>
      <c r="F297" s="184"/>
      <c r="G297" s="184"/>
      <c r="H297" s="187"/>
      <c r="I297" s="187">
        <f>H296</f>
        <v>100</v>
      </c>
      <c r="J297" s="182"/>
      <c r="K297" s="183" t="s">
        <v>6</v>
      </c>
      <c r="L297" s="184"/>
      <c r="M297" s="188"/>
      <c r="N297" s="188"/>
      <c r="O297" s="187"/>
      <c r="P297" s="187">
        <f>O296</f>
        <v>100</v>
      </c>
      <c r="Q297" s="187">
        <f>(I297+P297)/2</f>
        <v>100</v>
      </c>
      <c r="R297" s="191" t="s">
        <v>31</v>
      </c>
      <c r="S297" s="579"/>
      <c r="T297" s="110"/>
    </row>
    <row r="298" spans="1:21" s="111" customFormat="1" ht="67.5" customHeight="1" x14ac:dyDescent="0.35">
      <c r="A298" s="576">
        <v>28</v>
      </c>
      <c r="B298" s="600" t="s">
        <v>118</v>
      </c>
      <c r="C298" s="500" t="s">
        <v>12</v>
      </c>
      <c r="D298" s="112" t="s">
        <v>87</v>
      </c>
      <c r="E298" s="120"/>
      <c r="F298" s="120"/>
      <c r="G298" s="120"/>
      <c r="H298" s="506"/>
      <c r="I298" s="506"/>
      <c r="J298" s="120" t="s">
        <v>12</v>
      </c>
      <c r="K298" s="135" t="s">
        <v>87</v>
      </c>
      <c r="L298" s="505"/>
      <c r="M298" s="505"/>
      <c r="N298" s="505"/>
      <c r="O298" s="506"/>
      <c r="P298" s="136"/>
      <c r="Q298" s="506"/>
      <c r="R298" s="505"/>
      <c r="S298" s="579" t="s">
        <v>279</v>
      </c>
      <c r="T298" s="110"/>
    </row>
    <row r="299" spans="1:21" s="111" customFormat="1" ht="69.75" x14ac:dyDescent="0.35">
      <c r="A299" s="576"/>
      <c r="B299" s="600"/>
      <c r="C299" s="507" t="s">
        <v>7</v>
      </c>
      <c r="D299" s="510" t="s">
        <v>88</v>
      </c>
      <c r="E299" s="505" t="s">
        <v>25</v>
      </c>
      <c r="F299" s="505">
        <v>95</v>
      </c>
      <c r="G299" s="505">
        <v>100</v>
      </c>
      <c r="H299" s="509">
        <f>IF(G299/F299*100&gt;100,100,G299/F299*100)</f>
        <v>100</v>
      </c>
      <c r="I299" s="505"/>
      <c r="J299" s="505" t="s">
        <v>7</v>
      </c>
      <c r="K299" s="508" t="s">
        <v>316</v>
      </c>
      <c r="L299" s="505" t="s">
        <v>38</v>
      </c>
      <c r="M299" s="505">
        <v>58</v>
      </c>
      <c r="N299" s="505">
        <v>58</v>
      </c>
      <c r="O299" s="509">
        <f>IF(N299/M299*100&gt;110,110,N299/M299*100)</f>
        <v>100</v>
      </c>
      <c r="P299" s="136"/>
      <c r="Q299" s="506"/>
      <c r="R299" s="505"/>
      <c r="S299" s="579"/>
      <c r="T299" s="110"/>
    </row>
    <row r="300" spans="1:21" s="111" customFormat="1" ht="69.75" x14ac:dyDescent="0.35">
      <c r="A300" s="576"/>
      <c r="B300" s="600"/>
      <c r="C300" s="507"/>
      <c r="D300" s="510"/>
      <c r="E300" s="505"/>
      <c r="F300" s="505"/>
      <c r="G300" s="505"/>
      <c r="H300" s="509"/>
      <c r="I300" s="505"/>
      <c r="J300" s="505" t="s">
        <v>8</v>
      </c>
      <c r="K300" s="508" t="s">
        <v>312</v>
      </c>
      <c r="L300" s="505" t="s">
        <v>38</v>
      </c>
      <c r="M300" s="505">
        <v>173</v>
      </c>
      <c r="N300" s="505">
        <v>173</v>
      </c>
      <c r="O300" s="509">
        <f>IF(N300/M300*100&gt;110,110,N300/M300*100)</f>
        <v>100</v>
      </c>
      <c r="P300" s="136"/>
      <c r="Q300" s="506"/>
      <c r="R300" s="505"/>
      <c r="S300" s="579"/>
      <c r="T300" s="110"/>
    </row>
    <row r="301" spans="1:21" s="111" customFormat="1" x14ac:dyDescent="0.35">
      <c r="A301" s="576"/>
      <c r="B301" s="600"/>
      <c r="C301" s="507"/>
      <c r="D301" s="510"/>
      <c r="E301" s="505"/>
      <c r="F301" s="505"/>
      <c r="G301" s="505"/>
      <c r="H301" s="509"/>
      <c r="I301" s="505"/>
      <c r="J301" s="505" t="s">
        <v>9</v>
      </c>
      <c r="K301" s="508" t="s">
        <v>321</v>
      </c>
      <c r="L301" s="505" t="s">
        <v>38</v>
      </c>
      <c r="M301" s="505">
        <v>23</v>
      </c>
      <c r="N301" s="505">
        <v>23</v>
      </c>
      <c r="O301" s="509">
        <f>IF(N301/M301*100&gt;110,110,N301/M301*100)</f>
        <v>100</v>
      </c>
      <c r="P301" s="136"/>
      <c r="Q301" s="506"/>
      <c r="R301" s="505"/>
      <c r="S301" s="579"/>
      <c r="T301" s="110"/>
    </row>
    <row r="302" spans="1:21" s="124" customFormat="1" ht="39.75" customHeight="1" x14ac:dyDescent="0.35">
      <c r="A302" s="576"/>
      <c r="B302" s="600"/>
      <c r="C302" s="182"/>
      <c r="D302" s="183" t="s">
        <v>6</v>
      </c>
      <c r="E302" s="184"/>
      <c r="F302" s="185"/>
      <c r="G302" s="186"/>
      <c r="H302" s="187"/>
      <c r="I302" s="187">
        <f>H299</f>
        <v>100</v>
      </c>
      <c r="J302" s="184"/>
      <c r="K302" s="183" t="s">
        <v>6</v>
      </c>
      <c r="L302" s="184"/>
      <c r="M302" s="188"/>
      <c r="N302" s="188"/>
      <c r="O302" s="187"/>
      <c r="P302" s="187">
        <f>(O299+O300+O301)/3</f>
        <v>100</v>
      </c>
      <c r="Q302" s="187">
        <f>(I302+P302)/2</f>
        <v>100</v>
      </c>
      <c r="R302" s="191" t="s">
        <v>31</v>
      </c>
      <c r="S302" s="579"/>
      <c r="T302" s="110"/>
      <c r="U302" s="189"/>
    </row>
    <row r="303" spans="1:21" s="111" customFormat="1" ht="42" customHeight="1" x14ac:dyDescent="0.35">
      <c r="A303" s="576"/>
      <c r="B303" s="600"/>
      <c r="C303" s="500" t="s">
        <v>13</v>
      </c>
      <c r="D303" s="112" t="s">
        <v>90</v>
      </c>
      <c r="E303" s="505"/>
      <c r="F303" s="505"/>
      <c r="G303" s="505"/>
      <c r="H303" s="506"/>
      <c r="I303" s="506"/>
      <c r="J303" s="120" t="s">
        <v>13</v>
      </c>
      <c r="K303" s="135" t="s">
        <v>90</v>
      </c>
      <c r="L303" s="505"/>
      <c r="M303" s="138"/>
      <c r="N303" s="138"/>
      <c r="O303" s="506"/>
      <c r="P303" s="136"/>
      <c r="Q303" s="506"/>
      <c r="R303" s="505"/>
      <c r="S303" s="579"/>
      <c r="T303" s="110"/>
    </row>
    <row r="304" spans="1:21" s="111" customFormat="1" ht="69.75" x14ac:dyDescent="0.35">
      <c r="A304" s="576"/>
      <c r="B304" s="600"/>
      <c r="C304" s="507" t="s">
        <v>14</v>
      </c>
      <c r="D304" s="510" t="s">
        <v>88</v>
      </c>
      <c r="E304" s="505" t="s">
        <v>25</v>
      </c>
      <c r="F304" s="505">
        <v>95</v>
      </c>
      <c r="G304" s="505">
        <v>100</v>
      </c>
      <c r="H304" s="509">
        <f>IF(G304/F304*100&gt;100,100,G304/F304*100)</f>
        <v>100</v>
      </c>
      <c r="I304" s="505"/>
      <c r="J304" s="139" t="s">
        <v>14</v>
      </c>
      <c r="K304" s="508" t="s">
        <v>325</v>
      </c>
      <c r="L304" s="505" t="s">
        <v>38</v>
      </c>
      <c r="M304" s="505">
        <v>250</v>
      </c>
      <c r="N304" s="505">
        <v>250</v>
      </c>
      <c r="O304" s="509">
        <f>IF(N304/M304*100&gt;110,110,N304/M304*100)</f>
        <v>100</v>
      </c>
      <c r="P304" s="136"/>
      <c r="Q304" s="506"/>
      <c r="R304" s="505"/>
      <c r="S304" s="579"/>
      <c r="T304" s="110"/>
    </row>
    <row r="305" spans="1:21" s="111" customFormat="1" x14ac:dyDescent="0.35">
      <c r="A305" s="576"/>
      <c r="B305" s="600"/>
      <c r="C305" s="507"/>
      <c r="D305" s="510"/>
      <c r="E305" s="505"/>
      <c r="F305" s="505"/>
      <c r="G305" s="505"/>
      <c r="H305" s="509"/>
      <c r="I305" s="505"/>
      <c r="J305" s="139" t="s">
        <v>15</v>
      </c>
      <c r="K305" s="508" t="s">
        <v>313</v>
      </c>
      <c r="L305" s="505" t="s">
        <v>38</v>
      </c>
      <c r="M305" s="505">
        <v>3</v>
      </c>
      <c r="N305" s="505">
        <v>3</v>
      </c>
      <c r="O305" s="509">
        <f>IF(N305/M305*100&gt;110,110,N305/M305*100)</f>
        <v>100</v>
      </c>
      <c r="P305" s="136"/>
      <c r="Q305" s="506"/>
      <c r="R305" s="505"/>
      <c r="S305" s="579"/>
      <c r="T305" s="110"/>
    </row>
    <row r="306" spans="1:21" s="111" customFormat="1" ht="69.75" x14ac:dyDescent="0.35">
      <c r="A306" s="576"/>
      <c r="B306" s="600"/>
      <c r="C306" s="507" t="s">
        <v>15</v>
      </c>
      <c r="D306" s="510" t="s">
        <v>91</v>
      </c>
      <c r="E306" s="505" t="s">
        <v>92</v>
      </c>
      <c r="F306" s="505">
        <v>35</v>
      </c>
      <c r="G306" s="505">
        <v>20</v>
      </c>
      <c r="H306" s="509">
        <f t="shared" si="4"/>
        <v>100</v>
      </c>
      <c r="I306" s="505"/>
      <c r="J306" s="139" t="s">
        <v>39</v>
      </c>
      <c r="K306" s="508" t="s">
        <v>463</v>
      </c>
      <c r="L306" s="505" t="s">
        <v>38</v>
      </c>
      <c r="M306" s="505">
        <v>1</v>
      </c>
      <c r="N306" s="505">
        <v>1</v>
      </c>
      <c r="O306" s="509">
        <f>IF(N306/M306*100&gt;110,110,N306/M306*100)</f>
        <v>100</v>
      </c>
      <c r="P306" s="136"/>
      <c r="Q306" s="506"/>
      <c r="R306" s="505"/>
      <c r="S306" s="579"/>
      <c r="T306" s="110"/>
    </row>
    <row r="307" spans="1:21" s="124" customFormat="1" ht="41.25" customHeight="1" x14ac:dyDescent="0.35">
      <c r="A307" s="576"/>
      <c r="B307" s="600"/>
      <c r="C307" s="191"/>
      <c r="D307" s="183" t="s">
        <v>6</v>
      </c>
      <c r="E307" s="191"/>
      <c r="F307" s="184"/>
      <c r="G307" s="184"/>
      <c r="H307" s="187"/>
      <c r="I307" s="187">
        <f>(H304+H306)/2</f>
        <v>100</v>
      </c>
      <c r="J307" s="182"/>
      <c r="K307" s="183" t="s">
        <v>6</v>
      </c>
      <c r="L307" s="184"/>
      <c r="M307" s="188"/>
      <c r="N307" s="188"/>
      <c r="O307" s="187"/>
      <c r="P307" s="187">
        <f>O304</f>
        <v>100</v>
      </c>
      <c r="Q307" s="187">
        <f>(I307+P307)/2</f>
        <v>100</v>
      </c>
      <c r="R307" s="191" t="s">
        <v>31</v>
      </c>
      <c r="S307" s="579"/>
      <c r="T307" s="110"/>
    </row>
    <row r="308" spans="1:21" s="111" customFormat="1" ht="72.75" customHeight="1" x14ac:dyDescent="0.35">
      <c r="A308" s="576">
        <v>29</v>
      </c>
      <c r="B308" s="600" t="s">
        <v>119</v>
      </c>
      <c r="C308" s="500" t="s">
        <v>12</v>
      </c>
      <c r="D308" s="112" t="s">
        <v>87</v>
      </c>
      <c r="E308" s="120"/>
      <c r="F308" s="120"/>
      <c r="G308" s="120"/>
      <c r="H308" s="506"/>
      <c r="I308" s="506"/>
      <c r="J308" s="120" t="s">
        <v>12</v>
      </c>
      <c r="K308" s="135" t="s">
        <v>87</v>
      </c>
      <c r="L308" s="505"/>
      <c r="M308" s="505"/>
      <c r="N308" s="505"/>
      <c r="O308" s="506"/>
      <c r="P308" s="136"/>
      <c r="Q308" s="506"/>
      <c r="R308" s="114"/>
      <c r="S308" s="579" t="s">
        <v>279</v>
      </c>
      <c r="T308" s="110"/>
    </row>
    <row r="309" spans="1:21" s="111" customFormat="1" ht="69.75" x14ac:dyDescent="0.35">
      <c r="A309" s="576"/>
      <c r="B309" s="600"/>
      <c r="C309" s="507" t="s">
        <v>7</v>
      </c>
      <c r="D309" s="510" t="s">
        <v>88</v>
      </c>
      <c r="E309" s="505" t="s">
        <v>25</v>
      </c>
      <c r="F309" s="505">
        <v>95</v>
      </c>
      <c r="G309" s="505">
        <v>98.7</v>
      </c>
      <c r="H309" s="509">
        <f>IF(G309/F309*100&gt;100,100,G309/F309*100)</f>
        <v>100</v>
      </c>
      <c r="I309" s="505"/>
      <c r="J309" s="505" t="s">
        <v>7</v>
      </c>
      <c r="K309" s="508" t="s">
        <v>316</v>
      </c>
      <c r="L309" s="505" t="s">
        <v>38</v>
      </c>
      <c r="M309" s="505">
        <v>48</v>
      </c>
      <c r="N309" s="505">
        <v>48</v>
      </c>
      <c r="O309" s="509">
        <f>IF(N309/M309*100&gt;110,110,N309/M309*100)</f>
        <v>100</v>
      </c>
      <c r="P309" s="136"/>
      <c r="Q309" s="506"/>
      <c r="R309" s="505"/>
      <c r="S309" s="579"/>
      <c r="T309" s="110"/>
    </row>
    <row r="310" spans="1:21" s="111" customFormat="1" ht="69.75" x14ac:dyDescent="0.35">
      <c r="A310" s="576"/>
      <c r="B310" s="600"/>
      <c r="C310" s="507"/>
      <c r="D310" s="510"/>
      <c r="E310" s="505"/>
      <c r="F310" s="505"/>
      <c r="G310" s="505"/>
      <c r="H310" s="509"/>
      <c r="I310" s="505"/>
      <c r="J310" s="505" t="s">
        <v>8</v>
      </c>
      <c r="K310" s="508" t="s">
        <v>312</v>
      </c>
      <c r="L310" s="505" t="s">
        <v>38</v>
      </c>
      <c r="M310" s="505">
        <v>170</v>
      </c>
      <c r="N310" s="505">
        <v>170</v>
      </c>
      <c r="O310" s="509">
        <f>IF(N310/M310*100&gt;110,110,N310/M310*100)</f>
        <v>100</v>
      </c>
      <c r="P310" s="136"/>
      <c r="Q310" s="506"/>
      <c r="R310" s="505"/>
      <c r="S310" s="579"/>
      <c r="T310" s="110"/>
    </row>
    <row r="311" spans="1:21" s="111" customFormat="1" x14ac:dyDescent="0.35">
      <c r="A311" s="576"/>
      <c r="B311" s="600"/>
      <c r="C311" s="507"/>
      <c r="D311" s="510"/>
      <c r="E311" s="505"/>
      <c r="F311" s="505"/>
      <c r="G311" s="505"/>
      <c r="H311" s="509"/>
      <c r="I311" s="114"/>
      <c r="J311" s="114" t="s">
        <v>9</v>
      </c>
      <c r="K311" s="116" t="s">
        <v>321</v>
      </c>
      <c r="L311" s="114" t="s">
        <v>38</v>
      </c>
      <c r="M311" s="505">
        <v>44</v>
      </c>
      <c r="N311" s="505">
        <v>44</v>
      </c>
      <c r="O311" s="509">
        <v>100</v>
      </c>
      <c r="P311" s="136"/>
      <c r="Q311" s="506"/>
      <c r="R311" s="505"/>
      <c r="S311" s="579"/>
      <c r="T311" s="110"/>
    </row>
    <row r="312" spans="1:21" s="124" customFormat="1" ht="39.75" customHeight="1" x14ac:dyDescent="0.35">
      <c r="A312" s="576"/>
      <c r="B312" s="600"/>
      <c r="C312" s="182"/>
      <c r="D312" s="183" t="s">
        <v>6</v>
      </c>
      <c r="E312" s="184"/>
      <c r="F312" s="185"/>
      <c r="G312" s="186"/>
      <c r="H312" s="187"/>
      <c r="I312" s="187">
        <f>H309</f>
        <v>100</v>
      </c>
      <c r="J312" s="184"/>
      <c r="K312" s="183" t="s">
        <v>6</v>
      </c>
      <c r="L312" s="184"/>
      <c r="M312" s="188"/>
      <c r="N312" s="188"/>
      <c r="O312" s="187"/>
      <c r="P312" s="187">
        <f>(O309+O310+O311)/3</f>
        <v>100</v>
      </c>
      <c r="Q312" s="187">
        <f>(I312+P312)/2</f>
        <v>100</v>
      </c>
      <c r="R312" s="191" t="s">
        <v>31</v>
      </c>
      <c r="S312" s="579"/>
      <c r="T312" s="110"/>
      <c r="U312" s="189"/>
    </row>
    <row r="313" spans="1:21" s="111" customFormat="1" ht="42" customHeight="1" x14ac:dyDescent="0.35">
      <c r="A313" s="576"/>
      <c r="B313" s="600"/>
      <c r="C313" s="500" t="s">
        <v>13</v>
      </c>
      <c r="D313" s="112" t="s">
        <v>90</v>
      </c>
      <c r="E313" s="505"/>
      <c r="F313" s="505"/>
      <c r="G313" s="505"/>
      <c r="H313" s="506"/>
      <c r="I313" s="113"/>
      <c r="J313" s="500" t="s">
        <v>13</v>
      </c>
      <c r="K313" s="112" t="s">
        <v>90</v>
      </c>
      <c r="L313" s="114"/>
      <c r="M313" s="138"/>
      <c r="N313" s="138"/>
      <c r="O313" s="506"/>
      <c r="P313" s="136"/>
      <c r="Q313" s="506"/>
      <c r="R313" s="507"/>
      <c r="S313" s="579"/>
      <c r="T313" s="110"/>
    </row>
    <row r="314" spans="1:21" s="111" customFormat="1" ht="69.75" x14ac:dyDescent="0.35">
      <c r="A314" s="576"/>
      <c r="B314" s="600"/>
      <c r="C314" s="507" t="s">
        <v>14</v>
      </c>
      <c r="D314" s="510" t="s">
        <v>88</v>
      </c>
      <c r="E314" s="505" t="s">
        <v>25</v>
      </c>
      <c r="F314" s="505">
        <v>95</v>
      </c>
      <c r="G314" s="505">
        <v>100</v>
      </c>
      <c r="H314" s="509">
        <f>IF(G314/F314*100&gt;100,100,G314/F314*100)</f>
        <v>100</v>
      </c>
      <c r="I314" s="114"/>
      <c r="J314" s="118" t="s">
        <v>14</v>
      </c>
      <c r="K314" s="116" t="s">
        <v>320</v>
      </c>
      <c r="L314" s="114" t="s">
        <v>38</v>
      </c>
      <c r="M314" s="505">
        <v>260</v>
      </c>
      <c r="N314" s="505">
        <v>260</v>
      </c>
      <c r="O314" s="509">
        <f>IF(N314/M314*100&gt;110,110,N314/M314*100)</f>
        <v>100</v>
      </c>
      <c r="P314" s="136"/>
      <c r="Q314" s="506"/>
      <c r="R314" s="505"/>
      <c r="S314" s="579"/>
      <c r="T314" s="110"/>
    </row>
    <row r="315" spans="1:21" s="111" customFormat="1" ht="69.75" x14ac:dyDescent="0.35">
      <c r="A315" s="576"/>
      <c r="B315" s="600"/>
      <c r="C315" s="507" t="s">
        <v>15</v>
      </c>
      <c r="D315" s="510" t="s">
        <v>91</v>
      </c>
      <c r="E315" s="505" t="s">
        <v>92</v>
      </c>
      <c r="F315" s="505">
        <v>35</v>
      </c>
      <c r="G315" s="505">
        <v>22.4</v>
      </c>
      <c r="H315" s="509">
        <f t="shared" ref="H315:H374" si="5">IF(F315/G315*100&gt;100,100,F315/G315*100)</f>
        <v>100</v>
      </c>
      <c r="I315" s="114"/>
      <c r="J315" s="118" t="s">
        <v>15</v>
      </c>
      <c r="K315" s="116" t="s">
        <v>463</v>
      </c>
      <c r="L315" s="114" t="s">
        <v>38</v>
      </c>
      <c r="M315" s="505">
        <v>1</v>
      </c>
      <c r="N315" s="505">
        <v>1</v>
      </c>
      <c r="O315" s="509">
        <f>IF(N315/M315*100&gt;110,110,N315/M315*100)</f>
        <v>100</v>
      </c>
      <c r="P315" s="136"/>
      <c r="Q315" s="506"/>
      <c r="R315" s="505"/>
      <c r="S315" s="579"/>
      <c r="T315" s="110"/>
    </row>
    <row r="316" spans="1:21" s="111" customFormat="1" x14ac:dyDescent="0.35">
      <c r="A316" s="576"/>
      <c r="B316" s="600"/>
      <c r="C316" s="507"/>
      <c r="D316" s="510"/>
      <c r="E316" s="505"/>
      <c r="F316" s="505"/>
      <c r="G316" s="505"/>
      <c r="H316" s="509"/>
      <c r="I316" s="114"/>
      <c r="J316" s="118" t="s">
        <v>39</v>
      </c>
      <c r="K316" s="116" t="s">
        <v>313</v>
      </c>
      <c r="L316" s="114" t="s">
        <v>38</v>
      </c>
      <c r="M316" s="505">
        <v>1</v>
      </c>
      <c r="N316" s="505">
        <v>1</v>
      </c>
      <c r="O316" s="509">
        <f>IF(N316/M316*100&gt;110,110,N316/M316*100)</f>
        <v>100</v>
      </c>
      <c r="P316" s="136"/>
      <c r="Q316" s="506"/>
      <c r="R316" s="505"/>
      <c r="S316" s="579"/>
      <c r="T316" s="110"/>
    </row>
    <row r="317" spans="1:21" s="124" customFormat="1" ht="54.75" customHeight="1" x14ac:dyDescent="0.35">
      <c r="A317" s="576"/>
      <c r="B317" s="600"/>
      <c r="C317" s="182"/>
      <c r="D317" s="183" t="s">
        <v>6</v>
      </c>
      <c r="E317" s="184"/>
      <c r="F317" s="185"/>
      <c r="G317" s="186"/>
      <c r="H317" s="187"/>
      <c r="I317" s="187">
        <f>(H314+H315)/2</f>
        <v>100</v>
      </c>
      <c r="J317" s="184"/>
      <c r="K317" s="183" t="s">
        <v>6</v>
      </c>
      <c r="L317" s="184"/>
      <c r="M317" s="188"/>
      <c r="N317" s="188"/>
      <c r="O317" s="187"/>
      <c r="P317" s="187">
        <f>(O316+O314+O315)/3</f>
        <v>100</v>
      </c>
      <c r="Q317" s="187">
        <f>(I317+P317)/2</f>
        <v>100</v>
      </c>
      <c r="R317" s="191" t="s">
        <v>31</v>
      </c>
      <c r="S317" s="579"/>
      <c r="T317" s="110"/>
      <c r="U317" s="189"/>
    </row>
    <row r="318" spans="1:21" s="111" customFormat="1" ht="75" customHeight="1" x14ac:dyDescent="0.35">
      <c r="A318" s="576">
        <v>30</v>
      </c>
      <c r="B318" s="600" t="s">
        <v>120</v>
      </c>
      <c r="C318" s="500" t="s">
        <v>12</v>
      </c>
      <c r="D318" s="112" t="s">
        <v>87</v>
      </c>
      <c r="E318" s="120"/>
      <c r="F318" s="120"/>
      <c r="G318" s="120"/>
      <c r="H318" s="506"/>
      <c r="I318" s="113"/>
      <c r="J318" s="502" t="s">
        <v>12</v>
      </c>
      <c r="K318" s="112" t="s">
        <v>87</v>
      </c>
      <c r="L318" s="114"/>
      <c r="M318" s="505"/>
      <c r="N318" s="505"/>
      <c r="O318" s="506"/>
      <c r="P318" s="136"/>
      <c r="Q318" s="506"/>
      <c r="R318" s="507"/>
      <c r="S318" s="579" t="s">
        <v>279</v>
      </c>
      <c r="T318" s="110"/>
    </row>
    <row r="319" spans="1:21" s="111" customFormat="1" ht="69.75" x14ac:dyDescent="0.35">
      <c r="A319" s="576"/>
      <c r="B319" s="600"/>
      <c r="C319" s="507" t="s">
        <v>7</v>
      </c>
      <c r="D319" s="510" t="s">
        <v>88</v>
      </c>
      <c r="E319" s="505" t="s">
        <v>25</v>
      </c>
      <c r="F319" s="505">
        <v>95</v>
      </c>
      <c r="G319" s="505">
        <v>100</v>
      </c>
      <c r="H319" s="509">
        <f>IF(G319/F319*100&gt;100,100,G319/F319*100)</f>
        <v>100</v>
      </c>
      <c r="I319" s="505"/>
      <c r="J319" s="505" t="s">
        <v>7</v>
      </c>
      <c r="K319" s="508" t="s">
        <v>316</v>
      </c>
      <c r="L319" s="505" t="s">
        <v>38</v>
      </c>
      <c r="M319" s="505">
        <v>139</v>
      </c>
      <c r="N319" s="505">
        <v>139</v>
      </c>
      <c r="O319" s="509">
        <f>IF(N319/M319*100&gt;110,110,N319/M319*100)</f>
        <v>100</v>
      </c>
      <c r="P319" s="136"/>
      <c r="Q319" s="506"/>
      <c r="R319" s="505"/>
      <c r="S319" s="579"/>
      <c r="T319" s="110"/>
    </row>
    <row r="320" spans="1:21" s="111" customFormat="1" ht="69.75" x14ac:dyDescent="0.35">
      <c r="A320" s="576"/>
      <c r="B320" s="600"/>
      <c r="C320" s="507"/>
      <c r="D320" s="510"/>
      <c r="E320" s="505"/>
      <c r="F320" s="505"/>
      <c r="G320" s="505"/>
      <c r="H320" s="509"/>
      <c r="I320" s="505"/>
      <c r="J320" s="505" t="s">
        <v>8</v>
      </c>
      <c r="K320" s="508" t="s">
        <v>312</v>
      </c>
      <c r="L320" s="505" t="s">
        <v>38</v>
      </c>
      <c r="M320" s="505">
        <v>303</v>
      </c>
      <c r="N320" s="505">
        <v>303</v>
      </c>
      <c r="O320" s="509">
        <f>IF(N320/M320*100&gt;110,110,N320/M320*100)</f>
        <v>100</v>
      </c>
      <c r="P320" s="136"/>
      <c r="Q320" s="506"/>
      <c r="R320" s="505"/>
      <c r="S320" s="579"/>
      <c r="T320" s="110"/>
    </row>
    <row r="321" spans="1:21" s="111" customFormat="1" x14ac:dyDescent="0.35">
      <c r="A321" s="576"/>
      <c r="B321" s="600"/>
      <c r="C321" s="507"/>
      <c r="D321" s="510"/>
      <c r="E321" s="505"/>
      <c r="F321" s="505"/>
      <c r="G321" s="505"/>
      <c r="H321" s="509"/>
      <c r="I321" s="505"/>
      <c r="J321" s="505" t="s">
        <v>9</v>
      </c>
      <c r="K321" s="508" t="s">
        <v>321</v>
      </c>
      <c r="L321" s="505" t="s">
        <v>38</v>
      </c>
      <c r="M321" s="505">
        <v>43</v>
      </c>
      <c r="N321" s="505">
        <v>43</v>
      </c>
      <c r="O321" s="509">
        <f>IF(N321/M321*100&gt;110,110,N321/M321*100)</f>
        <v>100</v>
      </c>
      <c r="P321" s="136"/>
      <c r="Q321" s="506"/>
      <c r="R321" s="505"/>
      <c r="S321" s="579"/>
      <c r="T321" s="110"/>
    </row>
    <row r="322" spans="1:21" s="124" customFormat="1" ht="54.75" customHeight="1" x14ac:dyDescent="0.35">
      <c r="A322" s="576"/>
      <c r="B322" s="600"/>
      <c r="C322" s="182"/>
      <c r="D322" s="183" t="s">
        <v>6</v>
      </c>
      <c r="E322" s="184"/>
      <c r="F322" s="185"/>
      <c r="G322" s="186"/>
      <c r="H322" s="187"/>
      <c r="I322" s="187">
        <f>H319</f>
        <v>100</v>
      </c>
      <c r="J322" s="184"/>
      <c r="K322" s="183" t="s">
        <v>6</v>
      </c>
      <c r="L322" s="184"/>
      <c r="M322" s="188"/>
      <c r="N322" s="188"/>
      <c r="O322" s="187"/>
      <c r="P322" s="187">
        <f>(O321+O319+O320)/3</f>
        <v>100</v>
      </c>
      <c r="Q322" s="187">
        <f>(I322+P322)/2</f>
        <v>100</v>
      </c>
      <c r="R322" s="191" t="s">
        <v>31</v>
      </c>
      <c r="S322" s="579"/>
      <c r="T322" s="110"/>
      <c r="U322" s="189"/>
    </row>
    <row r="323" spans="1:21" s="111" customFormat="1" ht="36.75" customHeight="1" x14ac:dyDescent="0.35">
      <c r="A323" s="576"/>
      <c r="B323" s="600"/>
      <c r="C323" s="500" t="s">
        <v>13</v>
      </c>
      <c r="D323" s="112" t="s">
        <v>90</v>
      </c>
      <c r="E323" s="505"/>
      <c r="F323" s="505"/>
      <c r="G323" s="505"/>
      <c r="H323" s="506"/>
      <c r="I323" s="506"/>
      <c r="J323" s="120" t="s">
        <v>13</v>
      </c>
      <c r="K323" s="135" t="s">
        <v>90</v>
      </c>
      <c r="L323" s="505"/>
      <c r="M323" s="138"/>
      <c r="N323" s="138"/>
      <c r="O323" s="506"/>
      <c r="P323" s="136"/>
      <c r="Q323" s="506"/>
      <c r="R323" s="507"/>
      <c r="S323" s="579"/>
      <c r="T323" s="110"/>
    </row>
    <row r="324" spans="1:21" s="111" customFormat="1" ht="62.25" customHeight="1" x14ac:dyDescent="0.35">
      <c r="A324" s="576"/>
      <c r="B324" s="600"/>
      <c r="C324" s="507" t="s">
        <v>14</v>
      </c>
      <c r="D324" s="510" t="s">
        <v>88</v>
      </c>
      <c r="E324" s="505" t="s">
        <v>25</v>
      </c>
      <c r="F324" s="505">
        <v>95</v>
      </c>
      <c r="G324" s="505">
        <v>100</v>
      </c>
      <c r="H324" s="509">
        <f>IF(G324/F324*100&gt;100,100,G324/F324*100)</f>
        <v>100</v>
      </c>
      <c r="I324" s="505"/>
      <c r="J324" s="139" t="s">
        <v>14</v>
      </c>
      <c r="K324" s="508" t="s">
        <v>320</v>
      </c>
      <c r="L324" s="505" t="s">
        <v>38</v>
      </c>
      <c r="M324" s="505">
        <v>460</v>
      </c>
      <c r="N324" s="505">
        <v>460</v>
      </c>
      <c r="O324" s="509">
        <f>IF(N324/M324*100&gt;110,110,N324/M324*100)</f>
        <v>100</v>
      </c>
      <c r="P324" s="136"/>
      <c r="Q324" s="506"/>
      <c r="R324" s="505"/>
      <c r="S324" s="579"/>
      <c r="T324" s="110"/>
    </row>
    <row r="325" spans="1:21" s="111" customFormat="1" ht="77.25" customHeight="1" x14ac:dyDescent="0.35">
      <c r="A325" s="576"/>
      <c r="B325" s="600"/>
      <c r="C325" s="507" t="s">
        <v>15</v>
      </c>
      <c r="D325" s="510" t="s">
        <v>91</v>
      </c>
      <c r="E325" s="505" t="s">
        <v>92</v>
      </c>
      <c r="F325" s="505">
        <v>35</v>
      </c>
      <c r="G325" s="505">
        <v>24.05</v>
      </c>
      <c r="H325" s="509">
        <f t="shared" si="5"/>
        <v>100</v>
      </c>
      <c r="I325" s="505"/>
      <c r="J325" s="139" t="s">
        <v>15</v>
      </c>
      <c r="K325" s="508" t="s">
        <v>313</v>
      </c>
      <c r="L325" s="505" t="s">
        <v>38</v>
      </c>
      <c r="M325" s="505">
        <v>10</v>
      </c>
      <c r="N325" s="505">
        <v>10</v>
      </c>
      <c r="O325" s="509">
        <f>IF(N325/M325*100&gt;110,110,N325/M325*100)</f>
        <v>100</v>
      </c>
      <c r="P325" s="136"/>
      <c r="Q325" s="506"/>
      <c r="R325" s="505"/>
      <c r="S325" s="579"/>
      <c r="T325" s="110"/>
    </row>
    <row r="326" spans="1:21" s="111" customFormat="1" ht="77.25" customHeight="1" x14ac:dyDescent="0.35">
      <c r="A326" s="576"/>
      <c r="B326" s="600"/>
      <c r="C326" s="507"/>
      <c r="D326" s="510"/>
      <c r="E326" s="505"/>
      <c r="F326" s="505"/>
      <c r="G326" s="505"/>
      <c r="H326" s="509"/>
      <c r="I326" s="505"/>
      <c r="J326" s="139" t="s">
        <v>39</v>
      </c>
      <c r="K326" s="508" t="s">
        <v>324</v>
      </c>
      <c r="L326" s="505" t="s">
        <v>38</v>
      </c>
      <c r="M326" s="505">
        <v>15</v>
      </c>
      <c r="N326" s="505">
        <v>15</v>
      </c>
      <c r="O326" s="509">
        <f>IF(N326/M326*100&gt;110,110,N326/M326*100)</f>
        <v>100</v>
      </c>
      <c r="P326" s="136"/>
      <c r="Q326" s="506"/>
      <c r="R326" s="505"/>
      <c r="S326" s="579"/>
      <c r="T326" s="110"/>
    </row>
    <row r="327" spans="1:21" s="124" customFormat="1" ht="39" customHeight="1" x14ac:dyDescent="0.35">
      <c r="A327" s="576"/>
      <c r="B327" s="600"/>
      <c r="C327" s="191"/>
      <c r="D327" s="183" t="s">
        <v>6</v>
      </c>
      <c r="E327" s="191"/>
      <c r="F327" s="184"/>
      <c r="G327" s="184"/>
      <c r="H327" s="187"/>
      <c r="I327" s="187">
        <f>(H324+H325)/2</f>
        <v>100</v>
      </c>
      <c r="J327" s="182"/>
      <c r="K327" s="183" t="s">
        <v>6</v>
      </c>
      <c r="L327" s="184"/>
      <c r="M327" s="188"/>
      <c r="N327" s="188"/>
      <c r="O327" s="187"/>
      <c r="P327" s="187">
        <f>(O324+O325+O326)/3</f>
        <v>100</v>
      </c>
      <c r="Q327" s="187">
        <f>(I327+P327)/2</f>
        <v>100</v>
      </c>
      <c r="R327" s="191" t="s">
        <v>31</v>
      </c>
      <c r="S327" s="579"/>
      <c r="T327" s="110"/>
    </row>
    <row r="328" spans="1:21" s="111" customFormat="1" ht="70.5" customHeight="1" x14ac:dyDescent="0.35">
      <c r="A328" s="576">
        <v>31</v>
      </c>
      <c r="B328" s="600" t="s">
        <v>121</v>
      </c>
      <c r="C328" s="500" t="s">
        <v>12</v>
      </c>
      <c r="D328" s="112" t="s">
        <v>87</v>
      </c>
      <c r="E328" s="120"/>
      <c r="F328" s="120"/>
      <c r="G328" s="120"/>
      <c r="H328" s="506"/>
      <c r="I328" s="113"/>
      <c r="J328" s="502" t="s">
        <v>12</v>
      </c>
      <c r="K328" s="112" t="s">
        <v>87</v>
      </c>
      <c r="L328" s="114"/>
      <c r="M328" s="505"/>
      <c r="N328" s="505"/>
      <c r="O328" s="506"/>
      <c r="P328" s="136"/>
      <c r="Q328" s="506"/>
      <c r="R328" s="114"/>
      <c r="S328" s="579" t="s">
        <v>279</v>
      </c>
      <c r="T328" s="110"/>
    </row>
    <row r="329" spans="1:21" s="111" customFormat="1" ht="69.75" x14ac:dyDescent="0.35">
      <c r="A329" s="576"/>
      <c r="B329" s="600"/>
      <c r="C329" s="507" t="s">
        <v>7</v>
      </c>
      <c r="D329" s="510" t="s">
        <v>88</v>
      </c>
      <c r="E329" s="505" t="s">
        <v>25</v>
      </c>
      <c r="F329" s="505">
        <v>95</v>
      </c>
      <c r="G329" s="505">
        <v>99</v>
      </c>
      <c r="H329" s="509">
        <f>IF(G329/F329*100&gt;100,100,G329/F329*100)</f>
        <v>100</v>
      </c>
      <c r="I329" s="114"/>
      <c r="J329" s="114" t="s">
        <v>7</v>
      </c>
      <c r="K329" s="116" t="s">
        <v>316</v>
      </c>
      <c r="L329" s="114" t="s">
        <v>38</v>
      </c>
      <c r="M329" s="505">
        <v>52</v>
      </c>
      <c r="N329" s="505">
        <v>52</v>
      </c>
      <c r="O329" s="509">
        <f>IF(N329/M329*100&gt;110,110,N329/M329*100)</f>
        <v>100</v>
      </c>
      <c r="P329" s="136"/>
      <c r="Q329" s="506"/>
      <c r="R329" s="505"/>
      <c r="S329" s="579"/>
      <c r="T329" s="110"/>
    </row>
    <row r="330" spans="1:21" s="111" customFormat="1" ht="69.75" x14ac:dyDescent="0.35">
      <c r="A330" s="576"/>
      <c r="B330" s="600"/>
      <c r="C330" s="507"/>
      <c r="D330" s="510"/>
      <c r="E330" s="505"/>
      <c r="F330" s="505"/>
      <c r="G330" s="505"/>
      <c r="H330" s="509"/>
      <c r="I330" s="114"/>
      <c r="J330" s="114" t="s">
        <v>8</v>
      </c>
      <c r="K330" s="116" t="s">
        <v>312</v>
      </c>
      <c r="L330" s="114" t="s">
        <v>38</v>
      </c>
      <c r="M330" s="505">
        <v>150</v>
      </c>
      <c r="N330" s="505">
        <v>150</v>
      </c>
      <c r="O330" s="509">
        <f>IF(N330/M330*100&gt;110,110,N330/M330*100)</f>
        <v>100</v>
      </c>
      <c r="P330" s="136"/>
      <c r="Q330" s="506"/>
      <c r="R330" s="505"/>
      <c r="S330" s="579"/>
      <c r="T330" s="110"/>
    </row>
    <row r="331" spans="1:21" s="111" customFormat="1" x14ac:dyDescent="0.35">
      <c r="A331" s="576"/>
      <c r="B331" s="600"/>
      <c r="C331" s="507"/>
      <c r="D331" s="510"/>
      <c r="E331" s="505"/>
      <c r="F331" s="505"/>
      <c r="G331" s="505"/>
      <c r="H331" s="509"/>
      <c r="I331" s="114"/>
      <c r="J331" s="114" t="s">
        <v>9</v>
      </c>
      <c r="K331" s="116" t="s">
        <v>321</v>
      </c>
      <c r="L331" s="114" t="s">
        <v>38</v>
      </c>
      <c r="M331" s="505">
        <v>38</v>
      </c>
      <c r="N331" s="505">
        <v>38</v>
      </c>
      <c r="O331" s="509">
        <f>IF(N331/M331*100&gt;110,110,N331/M331*100)</f>
        <v>100</v>
      </c>
      <c r="P331" s="136"/>
      <c r="Q331" s="506"/>
      <c r="R331" s="505"/>
      <c r="S331" s="579"/>
      <c r="T331" s="110"/>
    </row>
    <row r="332" spans="1:21" s="124" customFormat="1" ht="39.75" customHeight="1" x14ac:dyDescent="0.35">
      <c r="A332" s="576"/>
      <c r="B332" s="600"/>
      <c r="C332" s="182"/>
      <c r="D332" s="183" t="s">
        <v>6</v>
      </c>
      <c r="E332" s="184"/>
      <c r="F332" s="185"/>
      <c r="G332" s="186"/>
      <c r="H332" s="187"/>
      <c r="I332" s="187">
        <f>H329</f>
        <v>100</v>
      </c>
      <c r="J332" s="184"/>
      <c r="K332" s="183" t="s">
        <v>6</v>
      </c>
      <c r="L332" s="184"/>
      <c r="M332" s="188"/>
      <c r="N332" s="188"/>
      <c r="O332" s="187"/>
      <c r="P332" s="187">
        <f>(O329+O330+O331)/3</f>
        <v>100</v>
      </c>
      <c r="Q332" s="187">
        <f>(I332+P332)/2</f>
        <v>100</v>
      </c>
      <c r="R332" s="191" t="s">
        <v>31</v>
      </c>
      <c r="S332" s="579"/>
      <c r="T332" s="110"/>
      <c r="U332" s="189"/>
    </row>
    <row r="333" spans="1:21" s="111" customFormat="1" ht="40.5" customHeight="1" x14ac:dyDescent="0.35">
      <c r="A333" s="576"/>
      <c r="B333" s="600"/>
      <c r="C333" s="500" t="s">
        <v>13</v>
      </c>
      <c r="D333" s="112" t="s">
        <v>90</v>
      </c>
      <c r="E333" s="505"/>
      <c r="F333" s="505"/>
      <c r="G333" s="505"/>
      <c r="H333" s="506"/>
      <c r="I333" s="113"/>
      <c r="J333" s="500" t="s">
        <v>13</v>
      </c>
      <c r="K333" s="112" t="s">
        <v>90</v>
      </c>
      <c r="L333" s="114"/>
      <c r="M333" s="138"/>
      <c r="N333" s="138"/>
      <c r="O333" s="506"/>
      <c r="P333" s="136"/>
      <c r="Q333" s="506"/>
      <c r="R333" s="114"/>
      <c r="S333" s="579"/>
      <c r="T333" s="110"/>
    </row>
    <row r="334" spans="1:21" s="111" customFormat="1" ht="69.75" x14ac:dyDescent="0.35">
      <c r="A334" s="576"/>
      <c r="B334" s="600"/>
      <c r="C334" s="507" t="s">
        <v>14</v>
      </c>
      <c r="D334" s="510" t="s">
        <v>88</v>
      </c>
      <c r="E334" s="505" t="s">
        <v>25</v>
      </c>
      <c r="F334" s="505">
        <v>95</v>
      </c>
      <c r="G334" s="505">
        <v>96</v>
      </c>
      <c r="H334" s="509">
        <f>IF(G334/F334*100&gt;100,100,G334/F334*100)</f>
        <v>100</v>
      </c>
      <c r="I334" s="114"/>
      <c r="J334" s="118" t="s">
        <v>14</v>
      </c>
      <c r="K334" s="116" t="s">
        <v>325</v>
      </c>
      <c r="L334" s="114" t="s">
        <v>38</v>
      </c>
      <c r="M334" s="505">
        <v>234</v>
      </c>
      <c r="N334" s="505">
        <v>234</v>
      </c>
      <c r="O334" s="509">
        <f>IF(N334/M334*100&gt;110,110,N334/M334*100)</f>
        <v>100</v>
      </c>
      <c r="P334" s="136"/>
      <c r="Q334" s="506"/>
      <c r="R334" s="505"/>
      <c r="S334" s="579"/>
      <c r="T334" s="110"/>
    </row>
    <row r="335" spans="1:21" s="111" customFormat="1" ht="69.75" x14ac:dyDescent="0.35">
      <c r="A335" s="576"/>
      <c r="B335" s="600"/>
      <c r="C335" s="507" t="s">
        <v>15</v>
      </c>
      <c r="D335" s="510" t="s">
        <v>91</v>
      </c>
      <c r="E335" s="505" t="s">
        <v>92</v>
      </c>
      <c r="F335" s="505">
        <v>35</v>
      </c>
      <c r="G335" s="505">
        <v>28</v>
      </c>
      <c r="H335" s="509">
        <f t="shared" si="5"/>
        <v>100</v>
      </c>
      <c r="I335" s="114"/>
      <c r="J335" s="118" t="s">
        <v>15</v>
      </c>
      <c r="K335" s="508" t="s">
        <v>463</v>
      </c>
      <c r="L335" s="114" t="s">
        <v>38</v>
      </c>
      <c r="M335" s="505">
        <v>2</v>
      </c>
      <c r="N335" s="505">
        <v>2</v>
      </c>
      <c r="O335" s="509">
        <v>100</v>
      </c>
      <c r="P335" s="136"/>
      <c r="Q335" s="506"/>
      <c r="R335" s="505"/>
      <c r="S335" s="579"/>
      <c r="T335" s="110"/>
    </row>
    <row r="336" spans="1:21" s="111" customFormat="1" x14ac:dyDescent="0.35">
      <c r="A336" s="576"/>
      <c r="B336" s="600"/>
      <c r="C336" s="507"/>
      <c r="D336" s="510"/>
      <c r="E336" s="505"/>
      <c r="F336" s="505"/>
      <c r="G336" s="505"/>
      <c r="H336" s="509"/>
      <c r="I336" s="114"/>
      <c r="J336" s="118" t="s">
        <v>39</v>
      </c>
      <c r="K336" s="116" t="s">
        <v>313</v>
      </c>
      <c r="L336" s="114" t="s">
        <v>38</v>
      </c>
      <c r="M336" s="505">
        <v>4</v>
      </c>
      <c r="N336" s="505">
        <v>4</v>
      </c>
      <c r="O336" s="509">
        <f>IF(N336/M336*100&gt;110,110,N336/M336*100)</f>
        <v>100</v>
      </c>
      <c r="P336" s="136"/>
      <c r="Q336" s="506"/>
      <c r="R336" s="505"/>
      <c r="S336" s="579"/>
      <c r="T336" s="110"/>
    </row>
    <row r="337" spans="1:21" s="124" customFormat="1" ht="39" customHeight="1" x14ac:dyDescent="0.35">
      <c r="A337" s="576"/>
      <c r="B337" s="600"/>
      <c r="C337" s="191"/>
      <c r="D337" s="183" t="s">
        <v>6</v>
      </c>
      <c r="E337" s="191"/>
      <c r="F337" s="184"/>
      <c r="G337" s="184"/>
      <c r="H337" s="187"/>
      <c r="I337" s="187">
        <f>(H334+H335)/2</f>
        <v>100</v>
      </c>
      <c r="J337" s="182"/>
      <c r="K337" s="183" t="s">
        <v>6</v>
      </c>
      <c r="L337" s="184"/>
      <c r="M337" s="188"/>
      <c r="N337" s="188"/>
      <c r="O337" s="187"/>
      <c r="P337" s="187">
        <f>(O333+O335+O334+O336)/3</f>
        <v>100</v>
      </c>
      <c r="Q337" s="187">
        <f>(I337+P337)/2</f>
        <v>100</v>
      </c>
      <c r="R337" s="191" t="s">
        <v>31</v>
      </c>
      <c r="S337" s="579"/>
      <c r="T337" s="110"/>
    </row>
    <row r="338" spans="1:21" s="111" customFormat="1" ht="78.75" customHeight="1" x14ac:dyDescent="0.35">
      <c r="A338" s="576">
        <v>32</v>
      </c>
      <c r="B338" s="600" t="s">
        <v>122</v>
      </c>
      <c r="C338" s="500" t="s">
        <v>12</v>
      </c>
      <c r="D338" s="112" t="s">
        <v>87</v>
      </c>
      <c r="E338" s="120"/>
      <c r="F338" s="120"/>
      <c r="G338" s="120"/>
      <c r="H338" s="506"/>
      <c r="I338" s="506"/>
      <c r="J338" s="120" t="s">
        <v>12</v>
      </c>
      <c r="K338" s="135" t="s">
        <v>87</v>
      </c>
      <c r="L338" s="505"/>
      <c r="M338" s="505"/>
      <c r="N338" s="505"/>
      <c r="O338" s="506"/>
      <c r="P338" s="136"/>
      <c r="Q338" s="506"/>
      <c r="R338" s="507"/>
      <c r="S338" s="579" t="s">
        <v>279</v>
      </c>
      <c r="T338" s="110"/>
    </row>
    <row r="339" spans="1:21" s="111" customFormat="1" ht="69.75" x14ac:dyDescent="0.35">
      <c r="A339" s="576"/>
      <c r="B339" s="600"/>
      <c r="C339" s="507" t="s">
        <v>7</v>
      </c>
      <c r="D339" s="510" t="s">
        <v>88</v>
      </c>
      <c r="E339" s="505" t="s">
        <v>25</v>
      </c>
      <c r="F339" s="505">
        <v>95</v>
      </c>
      <c r="G339" s="505">
        <v>98</v>
      </c>
      <c r="H339" s="509">
        <f>IF(G339/F339*100&gt;100,100,G339/F339*100)</f>
        <v>100</v>
      </c>
      <c r="I339" s="505"/>
      <c r="J339" s="505" t="s">
        <v>7</v>
      </c>
      <c r="K339" s="508" t="s">
        <v>316</v>
      </c>
      <c r="L339" s="505" t="s">
        <v>38</v>
      </c>
      <c r="M339" s="505">
        <v>43</v>
      </c>
      <c r="N339" s="505">
        <v>43</v>
      </c>
      <c r="O339" s="509">
        <f>IF(N339/M339*100&gt;110,110,N339/M339*100)</f>
        <v>100</v>
      </c>
      <c r="P339" s="136"/>
      <c r="Q339" s="506"/>
      <c r="R339" s="505"/>
      <c r="S339" s="579"/>
      <c r="T339" s="110"/>
    </row>
    <row r="340" spans="1:21" s="111" customFormat="1" ht="69.75" x14ac:dyDescent="0.35">
      <c r="A340" s="576"/>
      <c r="B340" s="600"/>
      <c r="C340" s="507"/>
      <c r="D340" s="510"/>
      <c r="E340" s="505"/>
      <c r="F340" s="505"/>
      <c r="G340" s="505"/>
      <c r="H340" s="509"/>
      <c r="I340" s="505"/>
      <c r="J340" s="505" t="s">
        <v>8</v>
      </c>
      <c r="K340" s="508" t="s">
        <v>312</v>
      </c>
      <c r="L340" s="505" t="s">
        <v>38</v>
      </c>
      <c r="M340" s="505">
        <v>213</v>
      </c>
      <c r="N340" s="505">
        <v>213</v>
      </c>
      <c r="O340" s="509">
        <f>IF(N340/M340*100&gt;110,110,N340/M340*100)</f>
        <v>100</v>
      </c>
      <c r="P340" s="136"/>
      <c r="Q340" s="506"/>
      <c r="R340" s="505"/>
      <c r="S340" s="579"/>
      <c r="T340" s="110"/>
    </row>
    <row r="341" spans="1:21" s="111" customFormat="1" x14ac:dyDescent="0.35">
      <c r="A341" s="576"/>
      <c r="B341" s="600"/>
      <c r="C341" s="507"/>
      <c r="D341" s="510"/>
      <c r="E341" s="505"/>
      <c r="F341" s="505"/>
      <c r="G341" s="505"/>
      <c r="H341" s="509"/>
      <c r="I341" s="505"/>
      <c r="J341" s="505" t="s">
        <v>9</v>
      </c>
      <c r="K341" s="508" t="s">
        <v>321</v>
      </c>
      <c r="L341" s="505" t="s">
        <v>38</v>
      </c>
      <c r="M341" s="505">
        <v>27</v>
      </c>
      <c r="N341" s="505">
        <v>27</v>
      </c>
      <c r="O341" s="509">
        <f>IF(N341/M341*100&gt;110,110,N341/M341*100)</f>
        <v>100</v>
      </c>
      <c r="P341" s="136"/>
      <c r="Q341" s="506"/>
      <c r="R341" s="505"/>
      <c r="S341" s="579"/>
      <c r="T341" s="110"/>
    </row>
    <row r="342" spans="1:21" s="124" customFormat="1" ht="39" customHeight="1" x14ac:dyDescent="0.35">
      <c r="A342" s="576"/>
      <c r="B342" s="600"/>
      <c r="C342" s="191"/>
      <c r="D342" s="183" t="s">
        <v>6</v>
      </c>
      <c r="E342" s="191"/>
      <c r="F342" s="184"/>
      <c r="G342" s="184"/>
      <c r="H342" s="187"/>
      <c r="I342" s="187">
        <f>H339</f>
        <v>100</v>
      </c>
      <c r="J342" s="182"/>
      <c r="K342" s="183" t="s">
        <v>6</v>
      </c>
      <c r="L342" s="184"/>
      <c r="M342" s="188"/>
      <c r="N342" s="188"/>
      <c r="O342" s="187"/>
      <c r="P342" s="187">
        <f>(O339+O340+O341)/3</f>
        <v>100</v>
      </c>
      <c r="Q342" s="187">
        <f>(I342+P342)/2</f>
        <v>100</v>
      </c>
      <c r="R342" s="191" t="s">
        <v>31</v>
      </c>
      <c r="S342" s="579"/>
      <c r="T342" s="110"/>
    </row>
    <row r="343" spans="1:21" s="111" customFormat="1" ht="47.25" customHeight="1" x14ac:dyDescent="0.35">
      <c r="A343" s="576"/>
      <c r="B343" s="600"/>
      <c r="C343" s="500" t="s">
        <v>13</v>
      </c>
      <c r="D343" s="112" t="s">
        <v>90</v>
      </c>
      <c r="E343" s="505"/>
      <c r="F343" s="505"/>
      <c r="G343" s="505"/>
      <c r="H343" s="506"/>
      <c r="I343" s="506"/>
      <c r="J343" s="120" t="s">
        <v>13</v>
      </c>
      <c r="K343" s="135" t="s">
        <v>90</v>
      </c>
      <c r="L343" s="505"/>
      <c r="M343" s="138"/>
      <c r="N343" s="138"/>
      <c r="O343" s="506"/>
      <c r="P343" s="136"/>
      <c r="Q343" s="506"/>
      <c r="R343" s="507"/>
      <c r="S343" s="579"/>
      <c r="T343" s="110"/>
    </row>
    <row r="344" spans="1:21" s="111" customFormat="1" ht="69.75" x14ac:dyDescent="0.35">
      <c r="A344" s="576"/>
      <c r="B344" s="600"/>
      <c r="C344" s="507" t="s">
        <v>14</v>
      </c>
      <c r="D344" s="510" t="s">
        <v>88</v>
      </c>
      <c r="E344" s="505" t="s">
        <v>25</v>
      </c>
      <c r="F344" s="505">
        <v>95</v>
      </c>
      <c r="G344" s="505">
        <v>98</v>
      </c>
      <c r="H344" s="509">
        <f>IF(G344/F344*100&gt;100,100,G344/F344*100)</f>
        <v>100</v>
      </c>
      <c r="I344" s="505"/>
      <c r="J344" s="139" t="s">
        <v>14</v>
      </c>
      <c r="K344" s="508" t="s">
        <v>325</v>
      </c>
      <c r="L344" s="505" t="s">
        <v>38</v>
      </c>
      <c r="M344" s="505">
        <v>279</v>
      </c>
      <c r="N344" s="505">
        <v>279</v>
      </c>
      <c r="O344" s="509">
        <f>IF(N344/M344*100&gt;110,110,N344/M344*100)</f>
        <v>100</v>
      </c>
      <c r="P344" s="136"/>
      <c r="Q344" s="506"/>
      <c r="R344" s="505"/>
      <c r="S344" s="579"/>
      <c r="T344" s="110"/>
    </row>
    <row r="345" spans="1:21" s="111" customFormat="1" ht="69.75" x14ac:dyDescent="0.35">
      <c r="A345" s="576"/>
      <c r="B345" s="600"/>
      <c r="C345" s="507" t="s">
        <v>15</v>
      </c>
      <c r="D345" s="510" t="s">
        <v>91</v>
      </c>
      <c r="E345" s="505" t="s">
        <v>92</v>
      </c>
      <c r="F345" s="505">
        <v>35</v>
      </c>
      <c r="G345" s="505">
        <v>8.4</v>
      </c>
      <c r="H345" s="509">
        <f t="shared" si="5"/>
        <v>100</v>
      </c>
      <c r="I345" s="505"/>
      <c r="J345" s="139" t="s">
        <v>15</v>
      </c>
      <c r="K345" s="508" t="s">
        <v>313</v>
      </c>
      <c r="L345" s="505" t="s">
        <v>38</v>
      </c>
      <c r="M345" s="505">
        <v>2</v>
      </c>
      <c r="N345" s="505">
        <v>2</v>
      </c>
      <c r="O345" s="509">
        <f>IF(N345/M345*100&gt;110,110,N345/M345*100)</f>
        <v>100</v>
      </c>
      <c r="P345" s="136"/>
      <c r="Q345" s="506"/>
      <c r="R345" s="505"/>
      <c r="S345" s="579"/>
      <c r="T345" s="110"/>
    </row>
    <row r="346" spans="1:21" s="111" customFormat="1" ht="69.75" x14ac:dyDescent="0.35">
      <c r="A346" s="576"/>
      <c r="B346" s="600"/>
      <c r="C346" s="507"/>
      <c r="D346" s="510"/>
      <c r="E346" s="505"/>
      <c r="F346" s="505"/>
      <c r="G346" s="505"/>
      <c r="H346" s="509"/>
      <c r="I346" s="505"/>
      <c r="J346" s="139" t="s">
        <v>39</v>
      </c>
      <c r="K346" s="508" t="s">
        <v>463</v>
      </c>
      <c r="L346" s="505" t="s">
        <v>38</v>
      </c>
      <c r="M346" s="505">
        <v>2</v>
      </c>
      <c r="N346" s="505">
        <v>2</v>
      </c>
      <c r="O346" s="509">
        <v>100</v>
      </c>
      <c r="P346" s="136"/>
      <c r="Q346" s="506"/>
      <c r="R346" s="505"/>
      <c r="S346" s="579"/>
      <c r="T346" s="110"/>
    </row>
    <row r="347" spans="1:21" s="124" customFormat="1" ht="54.75" customHeight="1" x14ac:dyDescent="0.35">
      <c r="A347" s="576"/>
      <c r="B347" s="600"/>
      <c r="C347" s="182"/>
      <c r="D347" s="183" t="s">
        <v>6</v>
      </c>
      <c r="E347" s="184"/>
      <c r="F347" s="185"/>
      <c r="G347" s="186"/>
      <c r="H347" s="187"/>
      <c r="I347" s="187">
        <f>(H344+H345)/2</f>
        <v>100</v>
      </c>
      <c r="J347" s="184"/>
      <c r="K347" s="183" t="s">
        <v>6</v>
      </c>
      <c r="L347" s="184"/>
      <c r="M347" s="188"/>
      <c r="N347" s="188"/>
      <c r="O347" s="187"/>
      <c r="P347" s="187">
        <f>(O344+O345+O346)/3</f>
        <v>100</v>
      </c>
      <c r="Q347" s="187">
        <f>(I347+P347)/2</f>
        <v>100</v>
      </c>
      <c r="R347" s="191" t="s">
        <v>31</v>
      </c>
      <c r="S347" s="579"/>
      <c r="T347" s="110"/>
      <c r="U347" s="189"/>
    </row>
    <row r="348" spans="1:21" s="111" customFormat="1" ht="78.75" customHeight="1" x14ac:dyDescent="0.35">
      <c r="A348" s="576">
        <v>33</v>
      </c>
      <c r="B348" s="600" t="s">
        <v>123</v>
      </c>
      <c r="C348" s="500" t="s">
        <v>12</v>
      </c>
      <c r="D348" s="112" t="s">
        <v>87</v>
      </c>
      <c r="E348" s="120"/>
      <c r="F348" s="120"/>
      <c r="G348" s="120"/>
      <c r="H348" s="506"/>
      <c r="I348" s="506"/>
      <c r="J348" s="120" t="s">
        <v>12</v>
      </c>
      <c r="K348" s="135" t="s">
        <v>87</v>
      </c>
      <c r="L348" s="505"/>
      <c r="M348" s="505"/>
      <c r="N348" s="505"/>
      <c r="O348" s="506"/>
      <c r="P348" s="136"/>
      <c r="Q348" s="506"/>
      <c r="R348" s="507"/>
      <c r="S348" s="579" t="s">
        <v>279</v>
      </c>
      <c r="T348" s="110"/>
    </row>
    <row r="349" spans="1:21" s="111" customFormat="1" ht="69.75" x14ac:dyDescent="0.35">
      <c r="A349" s="576"/>
      <c r="B349" s="600"/>
      <c r="C349" s="507" t="s">
        <v>7</v>
      </c>
      <c r="D349" s="510" t="s">
        <v>88</v>
      </c>
      <c r="E349" s="505" t="s">
        <v>25</v>
      </c>
      <c r="F349" s="505">
        <v>95</v>
      </c>
      <c r="G349" s="505">
        <v>99</v>
      </c>
      <c r="H349" s="509">
        <f>IF(G349/F349*100&gt;100,100,G349/F349*100)</f>
        <v>100</v>
      </c>
      <c r="I349" s="505"/>
      <c r="J349" s="505" t="s">
        <v>7</v>
      </c>
      <c r="K349" s="508" t="s">
        <v>316</v>
      </c>
      <c r="L349" s="505" t="s">
        <v>38</v>
      </c>
      <c r="M349" s="505">
        <v>44</v>
      </c>
      <c r="N349" s="505">
        <v>44</v>
      </c>
      <c r="O349" s="509">
        <f>IF(N349/M349*100&gt;110,110,N349/M349*100)</f>
        <v>100</v>
      </c>
      <c r="P349" s="136"/>
      <c r="Q349" s="506"/>
      <c r="R349" s="505"/>
      <c r="S349" s="579"/>
      <c r="T349" s="110"/>
    </row>
    <row r="350" spans="1:21" s="111" customFormat="1" ht="69.75" x14ac:dyDescent="0.35">
      <c r="A350" s="576"/>
      <c r="B350" s="600"/>
      <c r="C350" s="507"/>
      <c r="D350" s="510"/>
      <c r="E350" s="505"/>
      <c r="F350" s="505"/>
      <c r="G350" s="505"/>
      <c r="H350" s="509"/>
      <c r="I350" s="505"/>
      <c r="J350" s="505" t="s">
        <v>8</v>
      </c>
      <c r="K350" s="508" t="s">
        <v>312</v>
      </c>
      <c r="L350" s="505" t="s">
        <v>38</v>
      </c>
      <c r="M350" s="505">
        <v>177</v>
      </c>
      <c r="N350" s="505">
        <v>177</v>
      </c>
      <c r="O350" s="509">
        <f>IF(N350/M350*100&gt;110,110,N350/M350*100)</f>
        <v>100</v>
      </c>
      <c r="P350" s="136"/>
      <c r="Q350" s="506"/>
      <c r="R350" s="505"/>
      <c r="S350" s="579"/>
      <c r="T350" s="110"/>
    </row>
    <row r="351" spans="1:21" s="111" customFormat="1" x14ac:dyDescent="0.35">
      <c r="A351" s="576"/>
      <c r="B351" s="600"/>
      <c r="C351" s="507"/>
      <c r="D351" s="510"/>
      <c r="E351" s="505"/>
      <c r="F351" s="505"/>
      <c r="G351" s="505"/>
      <c r="H351" s="509"/>
      <c r="I351" s="505"/>
      <c r="J351" s="505" t="s">
        <v>9</v>
      </c>
      <c r="K351" s="508" t="s">
        <v>321</v>
      </c>
      <c r="L351" s="505" t="s">
        <v>38</v>
      </c>
      <c r="M351" s="505">
        <v>32</v>
      </c>
      <c r="N351" s="505">
        <v>32</v>
      </c>
      <c r="O351" s="509">
        <f>IF(N351/M351*100&gt;110,110,N351/M351*100)</f>
        <v>100</v>
      </c>
      <c r="P351" s="136"/>
      <c r="Q351" s="506"/>
      <c r="R351" s="505"/>
      <c r="S351" s="579"/>
      <c r="T351" s="110"/>
    </row>
    <row r="352" spans="1:21" s="124" customFormat="1" ht="39" customHeight="1" x14ac:dyDescent="0.35">
      <c r="A352" s="576"/>
      <c r="B352" s="600"/>
      <c r="C352" s="191"/>
      <c r="D352" s="183" t="s">
        <v>6</v>
      </c>
      <c r="E352" s="191"/>
      <c r="F352" s="184"/>
      <c r="G352" s="184"/>
      <c r="H352" s="187"/>
      <c r="I352" s="187">
        <f>H349</f>
        <v>100</v>
      </c>
      <c r="J352" s="182"/>
      <c r="K352" s="183" t="s">
        <v>6</v>
      </c>
      <c r="L352" s="184"/>
      <c r="M352" s="188"/>
      <c r="N352" s="188"/>
      <c r="O352" s="187"/>
      <c r="P352" s="187">
        <f>(O349+O350+O351)/3</f>
        <v>100</v>
      </c>
      <c r="Q352" s="187">
        <f>(I352+P352)/2</f>
        <v>100</v>
      </c>
      <c r="R352" s="191" t="s">
        <v>31</v>
      </c>
      <c r="S352" s="579"/>
      <c r="T352" s="110"/>
    </row>
    <row r="353" spans="1:20" s="111" customFormat="1" ht="45.75" customHeight="1" x14ac:dyDescent="0.35">
      <c r="A353" s="576"/>
      <c r="B353" s="600"/>
      <c r="C353" s="500" t="s">
        <v>13</v>
      </c>
      <c r="D353" s="112" t="s">
        <v>90</v>
      </c>
      <c r="E353" s="505"/>
      <c r="F353" s="505"/>
      <c r="G353" s="505"/>
      <c r="H353" s="506"/>
      <c r="I353" s="506"/>
      <c r="J353" s="120" t="s">
        <v>13</v>
      </c>
      <c r="K353" s="135" t="s">
        <v>90</v>
      </c>
      <c r="L353" s="505"/>
      <c r="M353" s="138"/>
      <c r="N353" s="138"/>
      <c r="O353" s="506"/>
      <c r="P353" s="136"/>
      <c r="Q353" s="506"/>
      <c r="R353" s="507"/>
      <c r="S353" s="579"/>
      <c r="T353" s="110"/>
    </row>
    <row r="354" spans="1:20" s="111" customFormat="1" ht="69.75" x14ac:dyDescent="0.35">
      <c r="A354" s="576"/>
      <c r="B354" s="600"/>
      <c r="C354" s="507" t="s">
        <v>14</v>
      </c>
      <c r="D354" s="510" t="s">
        <v>88</v>
      </c>
      <c r="E354" s="505" t="s">
        <v>25</v>
      </c>
      <c r="F354" s="505">
        <v>95</v>
      </c>
      <c r="G354" s="505">
        <v>99</v>
      </c>
      <c r="H354" s="509">
        <f>IF(G354/F354*100&gt;100,100,G354/F354*100)</f>
        <v>100</v>
      </c>
      <c r="I354" s="505"/>
      <c r="J354" s="598" t="s">
        <v>14</v>
      </c>
      <c r="K354" s="592" t="s">
        <v>325</v>
      </c>
      <c r="L354" s="592" t="s">
        <v>38</v>
      </c>
      <c r="M354" s="592">
        <v>250</v>
      </c>
      <c r="N354" s="592">
        <v>250</v>
      </c>
      <c r="O354" s="586">
        <f>IF(N354/M354*100&gt;110,110,N354/M354*100)</f>
        <v>100</v>
      </c>
      <c r="P354" s="588"/>
      <c r="Q354" s="590"/>
      <c r="R354" s="592"/>
      <c r="S354" s="579"/>
      <c r="T354" s="110"/>
    </row>
    <row r="355" spans="1:20" s="111" customFormat="1" ht="69.75" x14ac:dyDescent="0.35">
      <c r="A355" s="576"/>
      <c r="B355" s="600"/>
      <c r="C355" s="507" t="s">
        <v>15</v>
      </c>
      <c r="D355" s="510" t="s">
        <v>91</v>
      </c>
      <c r="E355" s="505" t="s">
        <v>92</v>
      </c>
      <c r="F355" s="505">
        <v>35</v>
      </c>
      <c r="G355" s="505">
        <v>8</v>
      </c>
      <c r="H355" s="509">
        <f t="shared" si="5"/>
        <v>100</v>
      </c>
      <c r="I355" s="114"/>
      <c r="J355" s="599"/>
      <c r="K355" s="593"/>
      <c r="L355" s="593"/>
      <c r="M355" s="593"/>
      <c r="N355" s="593"/>
      <c r="O355" s="587"/>
      <c r="P355" s="589"/>
      <c r="Q355" s="591"/>
      <c r="R355" s="593"/>
      <c r="S355" s="579"/>
      <c r="T355" s="110"/>
    </row>
    <row r="356" spans="1:20" s="111" customFormat="1" x14ac:dyDescent="0.35">
      <c r="A356" s="576"/>
      <c r="B356" s="600"/>
      <c r="C356" s="507"/>
      <c r="D356" s="510"/>
      <c r="E356" s="505"/>
      <c r="F356" s="505"/>
      <c r="G356" s="505"/>
      <c r="H356" s="509"/>
      <c r="I356" s="114"/>
      <c r="J356" s="118" t="s">
        <v>15</v>
      </c>
      <c r="K356" s="116" t="s">
        <v>313</v>
      </c>
      <c r="L356" s="114" t="s">
        <v>38</v>
      </c>
      <c r="M356" s="505">
        <v>3</v>
      </c>
      <c r="N356" s="505">
        <v>3</v>
      </c>
      <c r="O356" s="509">
        <f>IF(N356/M356*100&gt;110,110,N356/M356*100)</f>
        <v>100</v>
      </c>
      <c r="P356" s="136"/>
      <c r="Q356" s="506"/>
      <c r="R356" s="505"/>
      <c r="S356" s="579"/>
      <c r="T356" s="110"/>
    </row>
    <row r="357" spans="1:20" s="124" customFormat="1" ht="39" customHeight="1" x14ac:dyDescent="0.35">
      <c r="A357" s="576"/>
      <c r="B357" s="600"/>
      <c r="C357" s="191"/>
      <c r="D357" s="183" t="s">
        <v>6</v>
      </c>
      <c r="E357" s="191"/>
      <c r="F357" s="184"/>
      <c r="G357" s="184"/>
      <c r="H357" s="187"/>
      <c r="I357" s="187">
        <f>(H354+H355)/2</f>
        <v>100</v>
      </c>
      <c r="J357" s="182"/>
      <c r="K357" s="183" t="s">
        <v>6</v>
      </c>
      <c r="L357" s="184"/>
      <c r="M357" s="188"/>
      <c r="N357" s="188"/>
      <c r="O357" s="187"/>
      <c r="P357" s="187">
        <f>(O354+O356)/2</f>
        <v>100</v>
      </c>
      <c r="Q357" s="187">
        <f>(I357+P357)/2</f>
        <v>100</v>
      </c>
      <c r="R357" s="191" t="s">
        <v>31</v>
      </c>
      <c r="S357" s="579"/>
      <c r="T357" s="110"/>
    </row>
    <row r="358" spans="1:20" s="111" customFormat="1" ht="70.5" customHeight="1" x14ac:dyDescent="0.35">
      <c r="A358" s="576">
        <v>34</v>
      </c>
      <c r="B358" s="600" t="s">
        <v>124</v>
      </c>
      <c r="C358" s="500" t="s">
        <v>12</v>
      </c>
      <c r="D358" s="112" t="s">
        <v>87</v>
      </c>
      <c r="E358" s="120"/>
      <c r="F358" s="120"/>
      <c r="G358" s="120"/>
      <c r="H358" s="506"/>
      <c r="I358" s="113"/>
      <c r="J358" s="502" t="s">
        <v>12</v>
      </c>
      <c r="K358" s="112" t="s">
        <v>87</v>
      </c>
      <c r="L358" s="114"/>
      <c r="M358" s="505"/>
      <c r="N358" s="505"/>
      <c r="O358" s="506"/>
      <c r="P358" s="136"/>
      <c r="Q358" s="506"/>
      <c r="R358" s="507"/>
      <c r="S358" s="579" t="s">
        <v>279</v>
      </c>
      <c r="T358" s="110"/>
    </row>
    <row r="359" spans="1:20" s="111" customFormat="1" ht="69.75" x14ac:dyDescent="0.35">
      <c r="A359" s="576"/>
      <c r="B359" s="600"/>
      <c r="C359" s="507" t="s">
        <v>7</v>
      </c>
      <c r="D359" s="510" t="s">
        <v>88</v>
      </c>
      <c r="E359" s="505" t="s">
        <v>25</v>
      </c>
      <c r="F359" s="505">
        <v>95</v>
      </c>
      <c r="G359" s="505">
        <v>98</v>
      </c>
      <c r="H359" s="509">
        <f>IF(G359/F359*100&gt;100,100,G359/F359*100)</f>
        <v>100</v>
      </c>
      <c r="I359" s="114"/>
      <c r="J359" s="114" t="s">
        <v>7</v>
      </c>
      <c r="K359" s="116" t="s">
        <v>316</v>
      </c>
      <c r="L359" s="114" t="s">
        <v>38</v>
      </c>
      <c r="M359" s="505">
        <v>37</v>
      </c>
      <c r="N359" s="505">
        <v>37</v>
      </c>
      <c r="O359" s="509">
        <f>IF(N359/M359*100&gt;110,110,N359/M359*100)</f>
        <v>100</v>
      </c>
      <c r="P359" s="136"/>
      <c r="Q359" s="506"/>
      <c r="R359" s="505"/>
      <c r="S359" s="579"/>
      <c r="T359" s="110"/>
    </row>
    <row r="360" spans="1:20" s="111" customFormat="1" ht="69.75" x14ac:dyDescent="0.35">
      <c r="A360" s="576"/>
      <c r="B360" s="600"/>
      <c r="C360" s="507"/>
      <c r="D360" s="510"/>
      <c r="E360" s="505"/>
      <c r="F360" s="505"/>
      <c r="G360" s="505"/>
      <c r="H360" s="509"/>
      <c r="I360" s="114"/>
      <c r="J360" s="114" t="s">
        <v>8</v>
      </c>
      <c r="K360" s="116" t="s">
        <v>312</v>
      </c>
      <c r="L360" s="114" t="s">
        <v>38</v>
      </c>
      <c r="M360" s="505">
        <v>144</v>
      </c>
      <c r="N360" s="505">
        <v>144</v>
      </c>
      <c r="O360" s="509">
        <f>IF(N360/M360*100&gt;110,110,N360/M360*100)</f>
        <v>100</v>
      </c>
      <c r="P360" s="136"/>
      <c r="Q360" s="506"/>
      <c r="R360" s="505"/>
      <c r="S360" s="579"/>
      <c r="T360" s="110"/>
    </row>
    <row r="361" spans="1:20" s="111" customFormat="1" x14ac:dyDescent="0.35">
      <c r="A361" s="576"/>
      <c r="B361" s="600"/>
      <c r="C361" s="507"/>
      <c r="D361" s="510"/>
      <c r="E361" s="505"/>
      <c r="F361" s="505"/>
      <c r="G361" s="505"/>
      <c r="H361" s="509"/>
      <c r="I361" s="114"/>
      <c r="J361" s="114" t="s">
        <v>9</v>
      </c>
      <c r="K361" s="116" t="s">
        <v>321</v>
      </c>
      <c r="L361" s="114" t="s">
        <v>38</v>
      </c>
      <c r="M361" s="505">
        <v>23</v>
      </c>
      <c r="N361" s="505">
        <v>23</v>
      </c>
      <c r="O361" s="509">
        <f>IF(N361/M361*100&gt;110,110,N361/M361*100)</f>
        <v>100</v>
      </c>
      <c r="P361" s="136"/>
      <c r="Q361" s="506"/>
      <c r="R361" s="505"/>
      <c r="S361" s="579"/>
      <c r="T361" s="110"/>
    </row>
    <row r="362" spans="1:20" s="124" customFormat="1" ht="39" customHeight="1" x14ac:dyDescent="0.35">
      <c r="A362" s="576"/>
      <c r="B362" s="600"/>
      <c r="C362" s="191"/>
      <c r="D362" s="183" t="s">
        <v>6</v>
      </c>
      <c r="E362" s="191"/>
      <c r="F362" s="184"/>
      <c r="G362" s="184"/>
      <c r="H362" s="187"/>
      <c r="I362" s="187">
        <f>H359</f>
        <v>100</v>
      </c>
      <c r="J362" s="182"/>
      <c r="K362" s="183" t="s">
        <v>6</v>
      </c>
      <c r="L362" s="184"/>
      <c r="M362" s="188"/>
      <c r="N362" s="188"/>
      <c r="O362" s="187"/>
      <c r="P362" s="187">
        <f>(O359+O360+O361)/3</f>
        <v>100</v>
      </c>
      <c r="Q362" s="187">
        <f>(I362+P362)/2</f>
        <v>100</v>
      </c>
      <c r="R362" s="191" t="s">
        <v>31</v>
      </c>
      <c r="S362" s="579"/>
      <c r="T362" s="110"/>
    </row>
    <row r="363" spans="1:20" s="111" customFormat="1" ht="33" customHeight="1" x14ac:dyDescent="0.35">
      <c r="A363" s="576"/>
      <c r="B363" s="600"/>
      <c r="C363" s="500" t="s">
        <v>13</v>
      </c>
      <c r="D363" s="112" t="s">
        <v>90</v>
      </c>
      <c r="E363" s="505"/>
      <c r="F363" s="505"/>
      <c r="G363" s="505"/>
      <c r="H363" s="506"/>
      <c r="I363" s="113"/>
      <c r="J363" s="500" t="s">
        <v>13</v>
      </c>
      <c r="K363" s="112" t="s">
        <v>90</v>
      </c>
      <c r="L363" s="114"/>
      <c r="M363" s="138"/>
      <c r="N363" s="138"/>
      <c r="O363" s="506"/>
      <c r="P363" s="136"/>
      <c r="Q363" s="506"/>
      <c r="R363" s="507"/>
      <c r="S363" s="579"/>
      <c r="T363" s="110"/>
    </row>
    <row r="364" spans="1:20" s="111" customFormat="1" ht="69.75" x14ac:dyDescent="0.35">
      <c r="A364" s="576"/>
      <c r="B364" s="600"/>
      <c r="C364" s="507" t="s">
        <v>14</v>
      </c>
      <c r="D364" s="510" t="s">
        <v>88</v>
      </c>
      <c r="E364" s="505" t="s">
        <v>25</v>
      </c>
      <c r="F364" s="505">
        <v>95</v>
      </c>
      <c r="G364" s="505">
        <v>100</v>
      </c>
      <c r="H364" s="509">
        <f>IF(G364/F364*100&gt;100,100,G364/F364*100)</f>
        <v>100</v>
      </c>
      <c r="I364" s="114"/>
      <c r="J364" s="594" t="s">
        <v>14</v>
      </c>
      <c r="K364" s="596" t="s">
        <v>325</v>
      </c>
      <c r="L364" s="596" t="s">
        <v>38</v>
      </c>
      <c r="M364" s="592">
        <v>204</v>
      </c>
      <c r="N364" s="592">
        <v>204</v>
      </c>
      <c r="O364" s="586">
        <f>IF(N364/M364*100&gt;110,110,N364/M364*100)</f>
        <v>100</v>
      </c>
      <c r="P364" s="588"/>
      <c r="Q364" s="590"/>
      <c r="R364" s="592"/>
      <c r="S364" s="579"/>
      <c r="T364" s="110"/>
    </row>
    <row r="365" spans="1:20" s="111" customFormat="1" ht="69.75" x14ac:dyDescent="0.35">
      <c r="A365" s="576"/>
      <c r="B365" s="600"/>
      <c r="C365" s="507" t="s">
        <v>15</v>
      </c>
      <c r="D365" s="510" t="s">
        <v>91</v>
      </c>
      <c r="E365" s="505" t="s">
        <v>92</v>
      </c>
      <c r="F365" s="505">
        <v>35</v>
      </c>
      <c r="G365" s="505">
        <v>27.96</v>
      </c>
      <c r="H365" s="509">
        <f t="shared" si="5"/>
        <v>100</v>
      </c>
      <c r="I365" s="114"/>
      <c r="J365" s="595"/>
      <c r="K365" s="597"/>
      <c r="L365" s="597"/>
      <c r="M365" s="593"/>
      <c r="N365" s="593"/>
      <c r="O365" s="587"/>
      <c r="P365" s="589"/>
      <c r="Q365" s="591"/>
      <c r="R365" s="593"/>
      <c r="S365" s="579"/>
      <c r="T365" s="110"/>
    </row>
    <row r="366" spans="1:20" s="124" customFormat="1" ht="39" customHeight="1" x14ac:dyDescent="0.35">
      <c r="A366" s="576"/>
      <c r="B366" s="600"/>
      <c r="C366" s="191"/>
      <c r="D366" s="183" t="s">
        <v>6</v>
      </c>
      <c r="E366" s="191"/>
      <c r="F366" s="184"/>
      <c r="G366" s="184"/>
      <c r="H366" s="187"/>
      <c r="I366" s="187">
        <f>(H364+H365)/2</f>
        <v>100</v>
      </c>
      <c r="J366" s="182"/>
      <c r="K366" s="183" t="s">
        <v>6</v>
      </c>
      <c r="L366" s="184"/>
      <c r="M366" s="188"/>
      <c r="N366" s="188"/>
      <c r="O366" s="187"/>
      <c r="P366" s="187">
        <f>(O364)/1</f>
        <v>100</v>
      </c>
      <c r="Q366" s="187">
        <f>(I366+P366)/2</f>
        <v>100</v>
      </c>
      <c r="R366" s="191" t="s">
        <v>31</v>
      </c>
      <c r="S366" s="579"/>
      <c r="T366" s="110"/>
    </row>
    <row r="367" spans="1:20" s="111" customFormat="1" ht="72" customHeight="1" x14ac:dyDescent="0.35">
      <c r="A367" s="576">
        <v>35</v>
      </c>
      <c r="B367" s="600" t="s">
        <v>125</v>
      </c>
      <c r="C367" s="500" t="s">
        <v>12</v>
      </c>
      <c r="D367" s="112" t="s">
        <v>87</v>
      </c>
      <c r="E367" s="120"/>
      <c r="F367" s="120"/>
      <c r="G367" s="120"/>
      <c r="H367" s="506"/>
      <c r="I367" s="506"/>
      <c r="J367" s="120" t="s">
        <v>12</v>
      </c>
      <c r="K367" s="135" t="s">
        <v>87</v>
      </c>
      <c r="L367" s="505"/>
      <c r="M367" s="505"/>
      <c r="N367" s="505"/>
      <c r="O367" s="506"/>
      <c r="P367" s="136"/>
      <c r="Q367" s="506"/>
      <c r="R367" s="507"/>
      <c r="S367" s="579" t="s">
        <v>279</v>
      </c>
      <c r="T367" s="110"/>
    </row>
    <row r="368" spans="1:20" s="111" customFormat="1" ht="69.75" x14ac:dyDescent="0.35">
      <c r="A368" s="576"/>
      <c r="B368" s="600"/>
      <c r="C368" s="507" t="s">
        <v>7</v>
      </c>
      <c r="D368" s="510" t="s">
        <v>88</v>
      </c>
      <c r="E368" s="505" t="s">
        <v>25</v>
      </c>
      <c r="F368" s="505">
        <v>95</v>
      </c>
      <c r="G368" s="505">
        <v>97.6</v>
      </c>
      <c r="H368" s="509">
        <f>IF(G368/F368*100&gt;100,100,G368/F368*100)</f>
        <v>100</v>
      </c>
      <c r="I368" s="505"/>
      <c r="J368" s="505" t="s">
        <v>7</v>
      </c>
      <c r="K368" s="508" t="s">
        <v>316</v>
      </c>
      <c r="L368" s="505" t="s">
        <v>38</v>
      </c>
      <c r="M368" s="505">
        <v>90</v>
      </c>
      <c r="N368" s="505">
        <v>90</v>
      </c>
      <c r="O368" s="509">
        <f>IF(N368/M368*100&gt;110,110,N368/M368*100)</f>
        <v>100</v>
      </c>
      <c r="P368" s="136"/>
      <c r="Q368" s="506"/>
      <c r="R368" s="505"/>
      <c r="S368" s="579"/>
      <c r="T368" s="110"/>
    </row>
    <row r="369" spans="1:21" s="111" customFormat="1" ht="69.75" x14ac:dyDescent="0.35">
      <c r="A369" s="576"/>
      <c r="B369" s="600"/>
      <c r="C369" s="507"/>
      <c r="D369" s="510"/>
      <c r="E369" s="505"/>
      <c r="F369" s="505"/>
      <c r="G369" s="505"/>
      <c r="H369" s="509"/>
      <c r="I369" s="505"/>
      <c r="J369" s="505" t="s">
        <v>8</v>
      </c>
      <c r="K369" s="508" t="s">
        <v>312</v>
      </c>
      <c r="L369" s="505" t="s">
        <v>38</v>
      </c>
      <c r="M369" s="505">
        <v>158</v>
      </c>
      <c r="N369" s="505">
        <v>158</v>
      </c>
      <c r="O369" s="509">
        <f>IF(N369/M369*100&gt;110,110,N369/M369*100)</f>
        <v>100</v>
      </c>
      <c r="P369" s="136"/>
      <c r="Q369" s="506"/>
      <c r="R369" s="505"/>
      <c r="S369" s="579"/>
      <c r="T369" s="110"/>
    </row>
    <row r="370" spans="1:21" s="111" customFormat="1" x14ac:dyDescent="0.35">
      <c r="A370" s="576"/>
      <c r="B370" s="600"/>
      <c r="C370" s="507"/>
      <c r="D370" s="510"/>
      <c r="E370" s="505"/>
      <c r="F370" s="505"/>
      <c r="G370" s="505"/>
      <c r="H370" s="509"/>
      <c r="I370" s="505"/>
      <c r="J370" s="505" t="s">
        <v>9</v>
      </c>
      <c r="K370" s="508" t="s">
        <v>321</v>
      </c>
      <c r="L370" s="505" t="s">
        <v>38</v>
      </c>
      <c r="M370" s="505">
        <v>15</v>
      </c>
      <c r="N370" s="505">
        <v>15</v>
      </c>
      <c r="O370" s="509">
        <f>IF(N370/M370*100&gt;110,110,N370/M370*100)</f>
        <v>100</v>
      </c>
      <c r="P370" s="136"/>
      <c r="Q370" s="506"/>
      <c r="R370" s="505"/>
      <c r="S370" s="579"/>
      <c r="T370" s="110"/>
    </row>
    <row r="371" spans="1:21" s="124" customFormat="1" ht="39" customHeight="1" x14ac:dyDescent="0.35">
      <c r="A371" s="576"/>
      <c r="B371" s="600"/>
      <c r="C371" s="191"/>
      <c r="D371" s="183" t="s">
        <v>6</v>
      </c>
      <c r="E371" s="191"/>
      <c r="F371" s="184"/>
      <c r="G371" s="184"/>
      <c r="H371" s="187"/>
      <c r="I371" s="187">
        <f>H368</f>
        <v>100</v>
      </c>
      <c r="J371" s="182"/>
      <c r="K371" s="183" t="s">
        <v>6</v>
      </c>
      <c r="L371" s="184"/>
      <c r="M371" s="188"/>
      <c r="N371" s="188"/>
      <c r="O371" s="187"/>
      <c r="P371" s="187">
        <f>(O368+O369+O370)/3</f>
        <v>100</v>
      </c>
      <c r="Q371" s="187">
        <f>(I371+P371)/2</f>
        <v>100</v>
      </c>
      <c r="R371" s="191" t="s">
        <v>31</v>
      </c>
      <c r="S371" s="579"/>
      <c r="T371" s="110"/>
    </row>
    <row r="372" spans="1:21" s="111" customFormat="1" ht="39" customHeight="1" x14ac:dyDescent="0.35">
      <c r="A372" s="576"/>
      <c r="B372" s="600"/>
      <c r="C372" s="500" t="s">
        <v>13</v>
      </c>
      <c r="D372" s="112" t="s">
        <v>90</v>
      </c>
      <c r="E372" s="505"/>
      <c r="F372" s="505"/>
      <c r="G372" s="505"/>
      <c r="H372" s="506"/>
      <c r="I372" s="506"/>
      <c r="J372" s="120" t="s">
        <v>13</v>
      </c>
      <c r="K372" s="135" t="s">
        <v>90</v>
      </c>
      <c r="L372" s="505"/>
      <c r="M372" s="138"/>
      <c r="N372" s="138"/>
      <c r="O372" s="506"/>
      <c r="P372" s="136"/>
      <c r="Q372" s="506"/>
      <c r="R372" s="507"/>
      <c r="S372" s="579"/>
      <c r="T372" s="110"/>
    </row>
    <row r="373" spans="1:21" s="111" customFormat="1" ht="69.75" x14ac:dyDescent="0.35">
      <c r="A373" s="576"/>
      <c r="B373" s="600"/>
      <c r="C373" s="507" t="s">
        <v>14</v>
      </c>
      <c r="D373" s="510" t="s">
        <v>88</v>
      </c>
      <c r="E373" s="505" t="s">
        <v>25</v>
      </c>
      <c r="F373" s="505">
        <v>95</v>
      </c>
      <c r="G373" s="505">
        <v>97.6</v>
      </c>
      <c r="H373" s="509">
        <f>IF(G373/F373*100&gt;100,100,G373/F373*100)</f>
        <v>100</v>
      </c>
      <c r="I373" s="505"/>
      <c r="J373" s="598" t="s">
        <v>14</v>
      </c>
      <c r="K373" s="592" t="s">
        <v>325</v>
      </c>
      <c r="L373" s="592" t="s">
        <v>38</v>
      </c>
      <c r="M373" s="592">
        <v>262</v>
      </c>
      <c r="N373" s="592">
        <v>262</v>
      </c>
      <c r="O373" s="586">
        <f>IF(N373/M373*100&gt;110,110,N373/M373*100)</f>
        <v>100</v>
      </c>
      <c r="P373" s="586"/>
      <c r="Q373" s="586"/>
      <c r="R373" s="586"/>
      <c r="S373" s="579"/>
      <c r="T373" s="110"/>
    </row>
    <row r="374" spans="1:21" s="111" customFormat="1" ht="69.75" x14ac:dyDescent="0.35">
      <c r="A374" s="576"/>
      <c r="B374" s="600"/>
      <c r="C374" s="507" t="s">
        <v>15</v>
      </c>
      <c r="D374" s="510" t="s">
        <v>91</v>
      </c>
      <c r="E374" s="505" t="s">
        <v>92</v>
      </c>
      <c r="F374" s="505">
        <v>35</v>
      </c>
      <c r="G374" s="505">
        <v>35</v>
      </c>
      <c r="H374" s="509">
        <f t="shared" si="5"/>
        <v>100</v>
      </c>
      <c r="I374" s="505"/>
      <c r="J374" s="599"/>
      <c r="K374" s="593"/>
      <c r="L374" s="593"/>
      <c r="M374" s="593"/>
      <c r="N374" s="593"/>
      <c r="O374" s="587"/>
      <c r="P374" s="587"/>
      <c r="Q374" s="587"/>
      <c r="R374" s="587"/>
      <c r="S374" s="579"/>
      <c r="T374" s="110"/>
    </row>
    <row r="375" spans="1:21" s="111" customFormat="1" x14ac:dyDescent="0.35">
      <c r="A375" s="576"/>
      <c r="B375" s="600"/>
      <c r="C375" s="507"/>
      <c r="D375" s="510"/>
      <c r="E375" s="505"/>
      <c r="F375" s="505"/>
      <c r="G375" s="505"/>
      <c r="H375" s="509"/>
      <c r="I375" s="505"/>
      <c r="J375" s="139" t="s">
        <v>15</v>
      </c>
      <c r="K375" s="508" t="s">
        <v>313</v>
      </c>
      <c r="L375" s="505" t="s">
        <v>38</v>
      </c>
      <c r="M375" s="505">
        <v>1</v>
      </c>
      <c r="N375" s="505">
        <v>1</v>
      </c>
      <c r="O375" s="509">
        <f>IF(N375/M375*100&gt;110,110,N375/M375*100)</f>
        <v>100</v>
      </c>
      <c r="P375" s="136"/>
      <c r="Q375" s="506"/>
      <c r="R375" s="505"/>
      <c r="S375" s="579"/>
      <c r="T375" s="110"/>
    </row>
    <row r="376" spans="1:21" s="124" customFormat="1" ht="39" customHeight="1" x14ac:dyDescent="0.35">
      <c r="A376" s="576"/>
      <c r="B376" s="600"/>
      <c r="C376" s="191"/>
      <c r="D376" s="183" t="s">
        <v>6</v>
      </c>
      <c r="E376" s="191"/>
      <c r="F376" s="184"/>
      <c r="G376" s="184"/>
      <c r="H376" s="187"/>
      <c r="I376" s="187">
        <f>(H373+H374)/2</f>
        <v>100</v>
      </c>
      <c r="J376" s="182"/>
      <c r="K376" s="183" t="s">
        <v>6</v>
      </c>
      <c r="L376" s="184"/>
      <c r="M376" s="188"/>
      <c r="N376" s="188"/>
      <c r="O376" s="187"/>
      <c r="P376" s="187">
        <f>(O373+O375)/2</f>
        <v>100</v>
      </c>
      <c r="Q376" s="187">
        <v>100</v>
      </c>
      <c r="R376" s="191" t="s">
        <v>31</v>
      </c>
      <c r="S376" s="579"/>
      <c r="T376" s="110"/>
      <c r="U376" s="520" t="s">
        <v>610</v>
      </c>
    </row>
    <row r="377" spans="1:21" s="111" customFormat="1" ht="65.25" customHeight="1" x14ac:dyDescent="0.35">
      <c r="A377" s="576">
        <v>36</v>
      </c>
      <c r="B377" s="600" t="s">
        <v>126</v>
      </c>
      <c r="C377" s="500" t="s">
        <v>12</v>
      </c>
      <c r="D377" s="112" t="s">
        <v>87</v>
      </c>
      <c r="E377" s="120"/>
      <c r="F377" s="120"/>
      <c r="G377" s="120"/>
      <c r="H377" s="506"/>
      <c r="I377" s="506"/>
      <c r="J377" s="120" t="s">
        <v>12</v>
      </c>
      <c r="K377" s="135" t="s">
        <v>87</v>
      </c>
      <c r="L377" s="505"/>
      <c r="M377" s="505"/>
      <c r="N377" s="505"/>
      <c r="O377" s="506"/>
      <c r="P377" s="136"/>
      <c r="Q377" s="506"/>
      <c r="R377" s="505"/>
      <c r="S377" s="579" t="s">
        <v>279</v>
      </c>
      <c r="T377" s="110"/>
    </row>
    <row r="378" spans="1:21" s="111" customFormat="1" ht="69.75" x14ac:dyDescent="0.35">
      <c r="A378" s="576"/>
      <c r="B378" s="600"/>
      <c r="C378" s="507" t="s">
        <v>7</v>
      </c>
      <c r="D378" s="510" t="s">
        <v>88</v>
      </c>
      <c r="E378" s="505" t="s">
        <v>25</v>
      </c>
      <c r="F378" s="505">
        <v>95</v>
      </c>
      <c r="G378" s="505">
        <v>97.3</v>
      </c>
      <c r="H378" s="509">
        <f>IF(G378/F378*100&gt;100,100,G378/F378*100)</f>
        <v>100</v>
      </c>
      <c r="I378" s="505"/>
      <c r="J378" s="505" t="s">
        <v>7</v>
      </c>
      <c r="K378" s="508" t="s">
        <v>316</v>
      </c>
      <c r="L378" s="505" t="s">
        <v>38</v>
      </c>
      <c r="M378" s="505">
        <v>65</v>
      </c>
      <c r="N378" s="505">
        <v>65</v>
      </c>
      <c r="O378" s="509">
        <f>IF(N378/M378*100&gt;110,110,N378/M378*100)</f>
        <v>100</v>
      </c>
      <c r="P378" s="136"/>
      <c r="Q378" s="506"/>
      <c r="R378" s="505"/>
      <c r="S378" s="579"/>
      <c r="T378" s="110"/>
    </row>
    <row r="379" spans="1:21" s="111" customFormat="1" ht="69.75" x14ac:dyDescent="0.35">
      <c r="A379" s="576"/>
      <c r="B379" s="600"/>
      <c r="C379" s="507"/>
      <c r="D379" s="510"/>
      <c r="E379" s="505"/>
      <c r="F379" s="505"/>
      <c r="G379" s="505"/>
      <c r="H379" s="509"/>
      <c r="I379" s="505"/>
      <c r="J379" s="505" t="s">
        <v>8</v>
      </c>
      <c r="K379" s="508" t="s">
        <v>312</v>
      </c>
      <c r="L379" s="505" t="s">
        <v>38</v>
      </c>
      <c r="M379" s="505">
        <v>135</v>
      </c>
      <c r="N379" s="505">
        <v>135</v>
      </c>
      <c r="O379" s="509">
        <f>IF(N379/M379*100&gt;110,110,N379/M379*100)</f>
        <v>100</v>
      </c>
      <c r="P379" s="136"/>
      <c r="Q379" s="506"/>
      <c r="R379" s="505"/>
      <c r="S379" s="579"/>
      <c r="T379" s="110"/>
    </row>
    <row r="380" spans="1:21" s="111" customFormat="1" x14ac:dyDescent="0.35">
      <c r="A380" s="576"/>
      <c r="B380" s="600"/>
      <c r="C380" s="507"/>
      <c r="D380" s="510"/>
      <c r="E380" s="505"/>
      <c r="F380" s="505"/>
      <c r="G380" s="505"/>
      <c r="H380" s="509"/>
      <c r="I380" s="505"/>
      <c r="J380" s="505" t="s">
        <v>9</v>
      </c>
      <c r="K380" s="508" t="s">
        <v>321</v>
      </c>
      <c r="L380" s="505" t="s">
        <v>38</v>
      </c>
      <c r="M380" s="505">
        <v>25</v>
      </c>
      <c r="N380" s="505">
        <v>25</v>
      </c>
      <c r="O380" s="509">
        <f>IF(N380/M380*100&gt;110,110,N380/M380*100)</f>
        <v>100</v>
      </c>
      <c r="P380" s="136"/>
      <c r="Q380" s="506"/>
      <c r="R380" s="505"/>
      <c r="S380" s="579"/>
      <c r="T380" s="110"/>
    </row>
    <row r="381" spans="1:21" s="124" customFormat="1" ht="39" customHeight="1" x14ac:dyDescent="0.35">
      <c r="A381" s="576"/>
      <c r="B381" s="600"/>
      <c r="C381" s="191"/>
      <c r="D381" s="183" t="s">
        <v>6</v>
      </c>
      <c r="E381" s="191"/>
      <c r="F381" s="184"/>
      <c r="G381" s="184"/>
      <c r="H381" s="187"/>
      <c r="I381" s="187">
        <f>H378</f>
        <v>100</v>
      </c>
      <c r="J381" s="182"/>
      <c r="K381" s="183" t="s">
        <v>6</v>
      </c>
      <c r="L381" s="184"/>
      <c r="M381" s="188"/>
      <c r="N381" s="188"/>
      <c r="O381" s="187"/>
      <c r="P381" s="187">
        <f>(O378+O379+O380)/3</f>
        <v>100</v>
      </c>
      <c r="Q381" s="187">
        <f>(I381+P381)/2</f>
        <v>100</v>
      </c>
      <c r="R381" s="191" t="s">
        <v>31</v>
      </c>
      <c r="S381" s="579"/>
      <c r="T381" s="110"/>
    </row>
    <row r="382" spans="1:21" s="111" customFormat="1" ht="36.75" customHeight="1" x14ac:dyDescent="0.35">
      <c r="A382" s="576"/>
      <c r="B382" s="600"/>
      <c r="C382" s="500" t="s">
        <v>13</v>
      </c>
      <c r="D382" s="112" t="s">
        <v>90</v>
      </c>
      <c r="E382" s="505"/>
      <c r="F382" s="505"/>
      <c r="G382" s="505"/>
      <c r="H382" s="506"/>
      <c r="I382" s="506"/>
      <c r="J382" s="120" t="s">
        <v>13</v>
      </c>
      <c r="K382" s="135" t="s">
        <v>90</v>
      </c>
      <c r="L382" s="505"/>
      <c r="M382" s="138"/>
      <c r="N382" s="138"/>
      <c r="O382" s="506"/>
      <c r="P382" s="136"/>
      <c r="Q382" s="506"/>
      <c r="R382" s="505"/>
      <c r="S382" s="579"/>
      <c r="T382" s="110"/>
    </row>
    <row r="383" spans="1:21" s="111" customFormat="1" ht="69.75" x14ac:dyDescent="0.35">
      <c r="A383" s="576"/>
      <c r="B383" s="600"/>
      <c r="C383" s="507" t="s">
        <v>14</v>
      </c>
      <c r="D383" s="510" t="s">
        <v>88</v>
      </c>
      <c r="E383" s="505" t="s">
        <v>25</v>
      </c>
      <c r="F383" s="505">
        <v>95</v>
      </c>
      <c r="G383" s="505">
        <v>95.7</v>
      </c>
      <c r="H383" s="509">
        <f>IF(G383/F383*100&gt;100,100,G383/F383*100)</f>
        <v>100</v>
      </c>
      <c r="I383" s="505"/>
      <c r="J383" s="598" t="s">
        <v>14</v>
      </c>
      <c r="K383" s="598" t="s">
        <v>325</v>
      </c>
      <c r="L383" s="598" t="s">
        <v>38</v>
      </c>
      <c r="M383" s="598">
        <v>225</v>
      </c>
      <c r="N383" s="598">
        <v>225</v>
      </c>
      <c r="O383" s="598">
        <f>IF(N383/M383*100&gt;110,110,N383/M383*100)</f>
        <v>100</v>
      </c>
      <c r="P383" s="598"/>
      <c r="Q383" s="598"/>
      <c r="R383" s="598"/>
      <c r="S383" s="579"/>
      <c r="T383" s="110"/>
    </row>
    <row r="384" spans="1:21" s="111" customFormat="1" ht="69.75" x14ac:dyDescent="0.35">
      <c r="A384" s="576"/>
      <c r="B384" s="600"/>
      <c r="C384" s="507" t="s">
        <v>15</v>
      </c>
      <c r="D384" s="510" t="s">
        <v>91</v>
      </c>
      <c r="E384" s="505" t="s">
        <v>92</v>
      </c>
      <c r="F384" s="505">
        <v>35</v>
      </c>
      <c r="G384" s="505">
        <v>27</v>
      </c>
      <c r="H384" s="509">
        <f t="shared" ref="H384:H403" si="6">IF(F384/G384*100&gt;100,100,F384/G384*100)</f>
        <v>100</v>
      </c>
      <c r="I384" s="505"/>
      <c r="J384" s="599"/>
      <c r="K384" s="599"/>
      <c r="L384" s="599"/>
      <c r="M384" s="599"/>
      <c r="N384" s="599"/>
      <c r="O384" s="599"/>
      <c r="P384" s="599"/>
      <c r="Q384" s="599"/>
      <c r="R384" s="599"/>
      <c r="S384" s="579"/>
      <c r="T384" s="110"/>
    </row>
    <row r="385" spans="1:20" s="124" customFormat="1" ht="39" customHeight="1" x14ac:dyDescent="0.35">
      <c r="A385" s="576"/>
      <c r="B385" s="600"/>
      <c r="C385" s="191"/>
      <c r="D385" s="183" t="s">
        <v>6</v>
      </c>
      <c r="E385" s="191"/>
      <c r="F385" s="184"/>
      <c r="G385" s="184"/>
      <c r="H385" s="187"/>
      <c r="I385" s="187">
        <f>(H383+H384)/2</f>
        <v>100</v>
      </c>
      <c r="J385" s="182"/>
      <c r="K385" s="183" t="s">
        <v>6</v>
      </c>
      <c r="L385" s="184"/>
      <c r="M385" s="188"/>
      <c r="N385" s="188"/>
      <c r="O385" s="187"/>
      <c r="P385" s="187">
        <f>(O383+O384)/1</f>
        <v>100</v>
      </c>
      <c r="Q385" s="187">
        <f>(I385+P385)/2</f>
        <v>100</v>
      </c>
      <c r="R385" s="191" t="s">
        <v>31</v>
      </c>
      <c r="S385" s="579"/>
      <c r="T385" s="110"/>
    </row>
    <row r="386" spans="1:20" s="111" customFormat="1" ht="67.5" customHeight="1" x14ac:dyDescent="0.35">
      <c r="A386" s="576">
        <v>37</v>
      </c>
      <c r="B386" s="600" t="s">
        <v>127</v>
      </c>
      <c r="C386" s="500" t="s">
        <v>12</v>
      </c>
      <c r="D386" s="112" t="s">
        <v>87</v>
      </c>
      <c r="E386" s="120"/>
      <c r="F386" s="120"/>
      <c r="G386" s="120"/>
      <c r="H386" s="506"/>
      <c r="I386" s="506"/>
      <c r="J386" s="120" t="s">
        <v>12</v>
      </c>
      <c r="K386" s="135" t="s">
        <v>87</v>
      </c>
      <c r="L386" s="505"/>
      <c r="M386" s="505"/>
      <c r="N386" s="505"/>
      <c r="O386" s="506"/>
      <c r="P386" s="136"/>
      <c r="Q386" s="506"/>
      <c r="R386" s="507"/>
      <c r="S386" s="579" t="s">
        <v>279</v>
      </c>
      <c r="T386" s="110"/>
    </row>
    <row r="387" spans="1:20" s="111" customFormat="1" ht="69.75" x14ac:dyDescent="0.35">
      <c r="A387" s="576"/>
      <c r="B387" s="600"/>
      <c r="C387" s="507" t="s">
        <v>7</v>
      </c>
      <c r="D387" s="510" t="s">
        <v>88</v>
      </c>
      <c r="E387" s="505" t="s">
        <v>25</v>
      </c>
      <c r="F387" s="505">
        <v>95</v>
      </c>
      <c r="G387" s="505">
        <v>99</v>
      </c>
      <c r="H387" s="509">
        <f>IF(G387/F387*100&gt;100,100,G387/F387*100)</f>
        <v>100</v>
      </c>
      <c r="I387" s="505"/>
      <c r="J387" s="505" t="s">
        <v>7</v>
      </c>
      <c r="K387" s="508" t="s">
        <v>316</v>
      </c>
      <c r="L387" s="505" t="s">
        <v>38</v>
      </c>
      <c r="M387" s="505">
        <v>59</v>
      </c>
      <c r="N387" s="505">
        <v>59</v>
      </c>
      <c r="O387" s="509">
        <f>IF(N387/M387*100&gt;110,110,N387/M387*100)</f>
        <v>100</v>
      </c>
      <c r="P387" s="136"/>
      <c r="Q387" s="506"/>
      <c r="R387" s="505"/>
      <c r="S387" s="579"/>
      <c r="T387" s="110"/>
    </row>
    <row r="388" spans="1:20" s="111" customFormat="1" ht="69.75" x14ac:dyDescent="0.35">
      <c r="A388" s="576"/>
      <c r="B388" s="600"/>
      <c r="C388" s="507"/>
      <c r="D388" s="510"/>
      <c r="E388" s="505"/>
      <c r="F388" s="505"/>
      <c r="G388" s="505"/>
      <c r="H388" s="509"/>
      <c r="I388" s="505"/>
      <c r="J388" s="505" t="s">
        <v>8</v>
      </c>
      <c r="K388" s="508" t="s">
        <v>312</v>
      </c>
      <c r="L388" s="505" t="s">
        <v>38</v>
      </c>
      <c r="M388" s="505">
        <v>108</v>
      </c>
      <c r="N388" s="505">
        <v>108</v>
      </c>
      <c r="O388" s="509">
        <f>IF(N388/M388*100&gt;110,110,N388/M388*100)</f>
        <v>100</v>
      </c>
      <c r="P388" s="136"/>
      <c r="Q388" s="506"/>
      <c r="R388" s="505"/>
      <c r="S388" s="579"/>
      <c r="T388" s="110"/>
    </row>
    <row r="389" spans="1:20" s="111" customFormat="1" ht="21.75" customHeight="1" x14ac:dyDescent="0.35">
      <c r="A389" s="576"/>
      <c r="B389" s="600"/>
      <c r="C389" s="507"/>
      <c r="D389" s="510"/>
      <c r="E389" s="505"/>
      <c r="F389" s="505"/>
      <c r="G389" s="505"/>
      <c r="H389" s="509"/>
      <c r="I389" s="505"/>
      <c r="J389" s="505" t="s">
        <v>9</v>
      </c>
      <c r="K389" s="508" t="s">
        <v>321</v>
      </c>
      <c r="L389" s="505" t="s">
        <v>38</v>
      </c>
      <c r="M389" s="505">
        <v>42</v>
      </c>
      <c r="N389" s="505">
        <v>42</v>
      </c>
      <c r="O389" s="509">
        <f>IF(N389/M389*100&gt;110,110,N389/M389*100)</f>
        <v>100</v>
      </c>
      <c r="P389" s="136"/>
      <c r="Q389" s="506"/>
      <c r="R389" s="505"/>
      <c r="S389" s="579"/>
      <c r="T389" s="110"/>
    </row>
    <row r="390" spans="1:20" s="124" customFormat="1" ht="39" customHeight="1" x14ac:dyDescent="0.35">
      <c r="A390" s="576"/>
      <c r="B390" s="600"/>
      <c r="C390" s="191"/>
      <c r="D390" s="183" t="s">
        <v>6</v>
      </c>
      <c r="E390" s="191"/>
      <c r="F390" s="184"/>
      <c r="G390" s="184"/>
      <c r="H390" s="187"/>
      <c r="I390" s="187">
        <f>H387</f>
        <v>100</v>
      </c>
      <c r="J390" s="182"/>
      <c r="K390" s="183" t="s">
        <v>6</v>
      </c>
      <c r="L390" s="184"/>
      <c r="M390" s="188"/>
      <c r="N390" s="188"/>
      <c r="O390" s="187"/>
      <c r="P390" s="187">
        <f>(O387+O388+O389)/3</f>
        <v>100</v>
      </c>
      <c r="Q390" s="187">
        <f>(I390+P390)/2</f>
        <v>100</v>
      </c>
      <c r="R390" s="191" t="s">
        <v>31</v>
      </c>
      <c r="S390" s="579"/>
      <c r="T390" s="110"/>
    </row>
    <row r="391" spans="1:20" s="111" customFormat="1" ht="31.5" customHeight="1" x14ac:dyDescent="0.35">
      <c r="A391" s="576"/>
      <c r="B391" s="600"/>
      <c r="C391" s="500" t="s">
        <v>13</v>
      </c>
      <c r="D391" s="135" t="s">
        <v>90</v>
      </c>
      <c r="E391" s="505"/>
      <c r="F391" s="505"/>
      <c r="G391" s="505"/>
      <c r="H391" s="506"/>
      <c r="I391" s="506"/>
      <c r="J391" s="120" t="s">
        <v>13</v>
      </c>
      <c r="K391" s="135" t="s">
        <v>90</v>
      </c>
      <c r="L391" s="505"/>
      <c r="M391" s="138"/>
      <c r="N391" s="138"/>
      <c r="O391" s="506"/>
      <c r="P391" s="136"/>
      <c r="Q391" s="506"/>
      <c r="R391" s="507"/>
      <c r="S391" s="579"/>
      <c r="T391" s="110"/>
    </row>
    <row r="392" spans="1:20" s="111" customFormat="1" ht="69.75" x14ac:dyDescent="0.35">
      <c r="A392" s="576"/>
      <c r="B392" s="600"/>
      <c r="C392" s="507" t="s">
        <v>14</v>
      </c>
      <c r="D392" s="510" t="s">
        <v>88</v>
      </c>
      <c r="E392" s="505" t="s">
        <v>25</v>
      </c>
      <c r="F392" s="505">
        <v>95</v>
      </c>
      <c r="G392" s="505">
        <v>99</v>
      </c>
      <c r="H392" s="509">
        <f>IF(G392/F392*100&gt;100,100,G392/F392*100)</f>
        <v>100</v>
      </c>
      <c r="I392" s="505"/>
      <c r="J392" s="598" t="s">
        <v>14</v>
      </c>
      <c r="K392" s="592" t="s">
        <v>325</v>
      </c>
      <c r="L392" s="592" t="s">
        <v>38</v>
      </c>
      <c r="M392" s="592">
        <v>203</v>
      </c>
      <c r="N392" s="592">
        <v>203</v>
      </c>
      <c r="O392" s="592">
        <v>100</v>
      </c>
      <c r="P392" s="592"/>
      <c r="Q392" s="592"/>
      <c r="R392" s="592"/>
      <c r="S392" s="579"/>
      <c r="T392" s="110"/>
    </row>
    <row r="393" spans="1:20" s="111" customFormat="1" ht="69.75" x14ac:dyDescent="0.35">
      <c r="A393" s="576"/>
      <c r="B393" s="600"/>
      <c r="C393" s="507" t="s">
        <v>15</v>
      </c>
      <c r="D393" s="510" t="s">
        <v>91</v>
      </c>
      <c r="E393" s="505" t="s">
        <v>92</v>
      </c>
      <c r="F393" s="505">
        <v>35</v>
      </c>
      <c r="G393" s="505">
        <v>12.1</v>
      </c>
      <c r="H393" s="509">
        <f t="shared" si="6"/>
        <v>100</v>
      </c>
      <c r="I393" s="114"/>
      <c r="J393" s="599"/>
      <c r="K393" s="593"/>
      <c r="L393" s="593"/>
      <c r="M393" s="593"/>
      <c r="N393" s="593"/>
      <c r="O393" s="593"/>
      <c r="P393" s="593"/>
      <c r="Q393" s="593"/>
      <c r="R393" s="593"/>
      <c r="S393" s="579"/>
      <c r="T393" s="110"/>
    </row>
    <row r="394" spans="1:20" s="111" customFormat="1" x14ac:dyDescent="0.35">
      <c r="A394" s="576"/>
      <c r="B394" s="600"/>
      <c r="C394" s="507"/>
      <c r="D394" s="510"/>
      <c r="E394" s="505"/>
      <c r="F394" s="505"/>
      <c r="G394" s="505"/>
      <c r="H394" s="509"/>
      <c r="I394" s="114"/>
      <c r="J394" s="118" t="s">
        <v>15</v>
      </c>
      <c r="K394" s="116" t="s">
        <v>313</v>
      </c>
      <c r="L394" s="114" t="s">
        <v>38</v>
      </c>
      <c r="M394" s="505">
        <v>6</v>
      </c>
      <c r="N394" s="505">
        <v>6</v>
      </c>
      <c r="O394" s="509">
        <f>IF(N394/M394*100&gt;110,110,N394/M394*100)</f>
        <v>100</v>
      </c>
      <c r="P394" s="136"/>
      <c r="Q394" s="506"/>
      <c r="R394" s="505"/>
      <c r="S394" s="579"/>
      <c r="T394" s="110"/>
    </row>
    <row r="395" spans="1:20" s="124" customFormat="1" ht="39" customHeight="1" x14ac:dyDescent="0.35">
      <c r="A395" s="576"/>
      <c r="B395" s="600"/>
      <c r="C395" s="191"/>
      <c r="D395" s="183" t="s">
        <v>6</v>
      </c>
      <c r="E395" s="191"/>
      <c r="F395" s="184"/>
      <c r="G395" s="184"/>
      <c r="H395" s="187"/>
      <c r="I395" s="187">
        <f>(H393+H392)/2</f>
        <v>100</v>
      </c>
      <c r="J395" s="182"/>
      <c r="K395" s="183" t="s">
        <v>6</v>
      </c>
      <c r="L395" s="184"/>
      <c r="M395" s="188"/>
      <c r="N395" s="188"/>
      <c r="O395" s="187"/>
      <c r="P395" s="187">
        <f>(O392+O394)/2</f>
        <v>100</v>
      </c>
      <c r="Q395" s="187">
        <f>(I395+P395)/2</f>
        <v>100</v>
      </c>
      <c r="R395" s="191" t="s">
        <v>31</v>
      </c>
      <c r="S395" s="579"/>
      <c r="T395" s="110"/>
    </row>
    <row r="396" spans="1:20" s="111" customFormat="1" ht="76.5" customHeight="1" x14ac:dyDescent="0.35">
      <c r="A396" s="576">
        <v>38</v>
      </c>
      <c r="B396" s="600" t="s">
        <v>467</v>
      </c>
      <c r="C396" s="500" t="s">
        <v>12</v>
      </c>
      <c r="D396" s="112" t="s">
        <v>87</v>
      </c>
      <c r="E396" s="120"/>
      <c r="F396" s="120"/>
      <c r="G396" s="120"/>
      <c r="H396" s="506"/>
      <c r="I396" s="506"/>
      <c r="J396" s="120" t="s">
        <v>12</v>
      </c>
      <c r="K396" s="135" t="s">
        <v>87</v>
      </c>
      <c r="L396" s="505"/>
      <c r="M396" s="505"/>
      <c r="N396" s="505"/>
      <c r="O396" s="506"/>
      <c r="P396" s="327"/>
      <c r="Q396" s="506"/>
      <c r="R396" s="505"/>
      <c r="S396" s="579" t="s">
        <v>279</v>
      </c>
      <c r="T396" s="110"/>
    </row>
    <row r="397" spans="1:20" s="111" customFormat="1" ht="69.75" x14ac:dyDescent="0.35">
      <c r="A397" s="576"/>
      <c r="B397" s="600"/>
      <c r="C397" s="507" t="s">
        <v>7</v>
      </c>
      <c r="D397" s="510" t="s">
        <v>88</v>
      </c>
      <c r="E397" s="505" t="s">
        <v>25</v>
      </c>
      <c r="F397" s="505">
        <v>95</v>
      </c>
      <c r="G397" s="505">
        <v>100</v>
      </c>
      <c r="H397" s="509">
        <f>IF(G397/F397*100&gt;100,100,G397/F397*100)</f>
        <v>100</v>
      </c>
      <c r="I397" s="505"/>
      <c r="J397" s="505" t="s">
        <v>7</v>
      </c>
      <c r="K397" s="508" t="s">
        <v>316</v>
      </c>
      <c r="L397" s="505" t="s">
        <v>38</v>
      </c>
      <c r="M397" s="505">
        <v>59</v>
      </c>
      <c r="N397" s="505">
        <v>59</v>
      </c>
      <c r="O397" s="509">
        <f>IF(N397/M397*100&gt;110,110,N397/M397*100)</f>
        <v>100</v>
      </c>
      <c r="P397" s="327"/>
      <c r="Q397" s="506"/>
      <c r="R397" s="505"/>
      <c r="S397" s="579"/>
      <c r="T397" s="110"/>
    </row>
    <row r="398" spans="1:20" s="111" customFormat="1" ht="69.75" x14ac:dyDescent="0.35">
      <c r="A398" s="576"/>
      <c r="B398" s="600"/>
      <c r="C398" s="507"/>
      <c r="D398" s="510"/>
      <c r="E398" s="505"/>
      <c r="F398" s="505"/>
      <c r="G398" s="505"/>
      <c r="H398" s="509"/>
      <c r="I398" s="505"/>
      <c r="J398" s="505" t="s">
        <v>8</v>
      </c>
      <c r="K398" s="508" t="s">
        <v>312</v>
      </c>
      <c r="L398" s="505" t="s">
        <v>38</v>
      </c>
      <c r="M398" s="505">
        <v>178</v>
      </c>
      <c r="N398" s="505">
        <v>178</v>
      </c>
      <c r="O398" s="509">
        <f>IF(N398/M398*100&gt;110,110,N398/M398*100)</f>
        <v>100</v>
      </c>
      <c r="P398" s="327"/>
      <c r="Q398" s="506"/>
      <c r="R398" s="505"/>
      <c r="S398" s="579"/>
      <c r="T398" s="110"/>
    </row>
    <row r="399" spans="1:20" s="111" customFormat="1" ht="30.75" customHeight="1" x14ac:dyDescent="0.35">
      <c r="A399" s="576"/>
      <c r="B399" s="600"/>
      <c r="C399" s="507"/>
      <c r="D399" s="510"/>
      <c r="E399" s="505"/>
      <c r="F399" s="505"/>
      <c r="G399" s="505"/>
      <c r="H399" s="509"/>
      <c r="I399" s="505"/>
      <c r="J399" s="505" t="s">
        <v>9</v>
      </c>
      <c r="K399" s="508" t="s">
        <v>321</v>
      </c>
      <c r="L399" s="505" t="s">
        <v>38</v>
      </c>
      <c r="M399" s="505">
        <v>20</v>
      </c>
      <c r="N399" s="505">
        <v>20</v>
      </c>
      <c r="O399" s="509">
        <f>IF(N399/M399*100&gt;110,110,N399/M399*100)</f>
        <v>100</v>
      </c>
      <c r="P399" s="327"/>
      <c r="Q399" s="506"/>
      <c r="R399" s="505"/>
      <c r="S399" s="579"/>
      <c r="T399" s="110"/>
    </row>
    <row r="400" spans="1:20" s="124" customFormat="1" ht="39" customHeight="1" x14ac:dyDescent="0.35">
      <c r="A400" s="576"/>
      <c r="B400" s="600"/>
      <c r="C400" s="191"/>
      <c r="D400" s="183" t="s">
        <v>6</v>
      </c>
      <c r="E400" s="191"/>
      <c r="F400" s="184"/>
      <c r="G400" s="184"/>
      <c r="H400" s="187"/>
      <c r="I400" s="187">
        <f>H397</f>
        <v>100</v>
      </c>
      <c r="J400" s="182"/>
      <c r="K400" s="183" t="s">
        <v>6</v>
      </c>
      <c r="L400" s="184"/>
      <c r="M400" s="188"/>
      <c r="N400" s="188"/>
      <c r="O400" s="187"/>
      <c r="P400" s="187">
        <f>(O397+O398+O399)/3</f>
        <v>100</v>
      </c>
      <c r="Q400" s="187">
        <f>(I400+P400)/2</f>
        <v>100</v>
      </c>
      <c r="R400" s="191" t="s">
        <v>31</v>
      </c>
      <c r="S400" s="579"/>
      <c r="T400" s="110"/>
    </row>
    <row r="401" spans="1:23" s="111" customFormat="1" ht="40.5" customHeight="1" x14ac:dyDescent="0.35">
      <c r="A401" s="576"/>
      <c r="B401" s="600"/>
      <c r="C401" s="500" t="s">
        <v>13</v>
      </c>
      <c r="D401" s="112" t="s">
        <v>90</v>
      </c>
      <c r="E401" s="505"/>
      <c r="F401" s="505"/>
      <c r="G401" s="505"/>
      <c r="H401" s="506"/>
      <c r="I401" s="506"/>
      <c r="J401" s="120" t="s">
        <v>13</v>
      </c>
      <c r="K401" s="135" t="s">
        <v>90</v>
      </c>
      <c r="L401" s="505"/>
      <c r="M401" s="138"/>
      <c r="N401" s="138"/>
      <c r="O401" s="506"/>
      <c r="P401" s="136"/>
      <c r="Q401" s="506"/>
      <c r="R401" s="505"/>
      <c r="S401" s="579"/>
      <c r="T401" s="110"/>
    </row>
    <row r="402" spans="1:23" s="111" customFormat="1" ht="61.5" customHeight="1" x14ac:dyDescent="0.35">
      <c r="A402" s="576"/>
      <c r="B402" s="600"/>
      <c r="C402" s="507" t="s">
        <v>14</v>
      </c>
      <c r="D402" s="510" t="s">
        <v>88</v>
      </c>
      <c r="E402" s="505" t="s">
        <v>25</v>
      </c>
      <c r="F402" s="505">
        <v>95</v>
      </c>
      <c r="G402" s="505">
        <v>100</v>
      </c>
      <c r="H402" s="509">
        <f>IF(G402/F402*100&gt;100,100,G402/F402*100)</f>
        <v>100</v>
      </c>
      <c r="I402" s="505"/>
      <c r="J402" s="139" t="s">
        <v>14</v>
      </c>
      <c r="K402" s="508" t="s">
        <v>325</v>
      </c>
      <c r="L402" s="505" t="s">
        <v>38</v>
      </c>
      <c r="M402" s="505">
        <v>256</v>
      </c>
      <c r="N402" s="505">
        <v>256</v>
      </c>
      <c r="O402" s="509">
        <f>IF(N402/M402*100&gt;110,110,N402/M402*100)</f>
        <v>100</v>
      </c>
      <c r="P402" s="136"/>
      <c r="Q402" s="506"/>
      <c r="R402" s="505"/>
      <c r="S402" s="579"/>
      <c r="T402" s="110"/>
    </row>
    <row r="403" spans="1:23" s="111" customFormat="1" ht="72" customHeight="1" x14ac:dyDescent="0.35">
      <c r="A403" s="576"/>
      <c r="B403" s="600"/>
      <c r="C403" s="507" t="s">
        <v>15</v>
      </c>
      <c r="D403" s="510" t="s">
        <v>91</v>
      </c>
      <c r="E403" s="505" t="s">
        <v>92</v>
      </c>
      <c r="F403" s="505">
        <v>35</v>
      </c>
      <c r="G403" s="505">
        <v>26.4</v>
      </c>
      <c r="H403" s="509">
        <f t="shared" si="6"/>
        <v>100</v>
      </c>
      <c r="I403" s="505"/>
      <c r="J403" s="139" t="s">
        <v>15</v>
      </c>
      <c r="K403" s="508" t="s">
        <v>463</v>
      </c>
      <c r="L403" s="505" t="s">
        <v>38</v>
      </c>
      <c r="M403" s="505">
        <v>1</v>
      </c>
      <c r="N403" s="505">
        <v>1</v>
      </c>
      <c r="O403" s="509">
        <f>IF(N403/M403*100&gt;110,110,N403/M403*100)</f>
        <v>100</v>
      </c>
      <c r="P403" s="136"/>
      <c r="Q403" s="506"/>
      <c r="R403" s="505"/>
      <c r="S403" s="579"/>
      <c r="T403" s="110"/>
    </row>
    <row r="404" spans="1:23" s="124" customFormat="1" ht="36.75" customHeight="1" x14ac:dyDescent="0.35">
      <c r="A404" s="576"/>
      <c r="B404" s="600"/>
      <c r="C404" s="191"/>
      <c r="D404" s="183" t="s">
        <v>6</v>
      </c>
      <c r="E404" s="191"/>
      <c r="F404" s="184"/>
      <c r="G404" s="184"/>
      <c r="H404" s="187"/>
      <c r="I404" s="187">
        <f>(H403+H402)/2</f>
        <v>100</v>
      </c>
      <c r="J404" s="182"/>
      <c r="K404" s="183" t="s">
        <v>6</v>
      </c>
      <c r="L404" s="184"/>
      <c r="M404" s="188"/>
      <c r="N404" s="188"/>
      <c r="O404" s="187"/>
      <c r="P404" s="187">
        <f>(O403+O402)/2</f>
        <v>100</v>
      </c>
      <c r="Q404" s="187">
        <f>(I404+P404)/2</f>
        <v>100</v>
      </c>
      <c r="R404" s="191" t="s">
        <v>31</v>
      </c>
      <c r="S404" s="579"/>
      <c r="T404" s="110"/>
    </row>
    <row r="405" spans="1:23" s="212" customFormat="1" ht="75" customHeight="1" x14ac:dyDescent="0.35">
      <c r="A405" s="576">
        <v>39</v>
      </c>
      <c r="B405" s="600" t="s">
        <v>139</v>
      </c>
      <c r="C405" s="502" t="s">
        <v>12</v>
      </c>
      <c r="D405" s="146" t="s">
        <v>128</v>
      </c>
      <c r="E405" s="502"/>
      <c r="F405" s="502"/>
      <c r="G405" s="502"/>
      <c r="H405" s="113"/>
      <c r="I405" s="113"/>
      <c r="J405" s="502" t="s">
        <v>12</v>
      </c>
      <c r="K405" s="146" t="s">
        <v>128</v>
      </c>
      <c r="L405" s="114"/>
      <c r="M405" s="114"/>
      <c r="N405" s="114"/>
      <c r="O405" s="113"/>
      <c r="P405" s="127"/>
      <c r="Q405" s="113"/>
      <c r="R405" s="114"/>
      <c r="S405" s="603" t="s">
        <v>280</v>
      </c>
      <c r="T405" s="211"/>
    </row>
    <row r="406" spans="1:23" s="212" customFormat="1" ht="72.75" customHeight="1" x14ac:dyDescent="0.35">
      <c r="A406" s="576"/>
      <c r="B406" s="600"/>
      <c r="C406" s="114" t="s">
        <v>7</v>
      </c>
      <c r="D406" s="116" t="s">
        <v>129</v>
      </c>
      <c r="E406" s="114" t="s">
        <v>25</v>
      </c>
      <c r="F406" s="114">
        <v>100</v>
      </c>
      <c r="G406" s="114">
        <v>100</v>
      </c>
      <c r="H406" s="509">
        <f t="shared" ref="H406:H410" si="7">IF(G406/F406*100&gt;100,100,G406/F406*100)</f>
        <v>100</v>
      </c>
      <c r="I406" s="114"/>
      <c r="J406" s="114" t="s">
        <v>7</v>
      </c>
      <c r="K406" s="116" t="s">
        <v>89</v>
      </c>
      <c r="L406" s="114" t="s">
        <v>38</v>
      </c>
      <c r="M406" s="114">
        <v>367</v>
      </c>
      <c r="N406" s="114">
        <v>355</v>
      </c>
      <c r="O406" s="115">
        <f>IF(N406/M406*100&gt;110,110,N406/M406*100)</f>
        <v>96.730245231607626</v>
      </c>
      <c r="P406" s="127"/>
      <c r="Q406" s="113"/>
      <c r="R406" s="114"/>
      <c r="S406" s="604"/>
      <c r="T406" s="211"/>
      <c r="W406" s="211"/>
    </row>
    <row r="407" spans="1:23" s="212" customFormat="1" ht="52.5" customHeight="1" x14ac:dyDescent="0.35">
      <c r="A407" s="576"/>
      <c r="B407" s="600"/>
      <c r="C407" s="114" t="s">
        <v>8</v>
      </c>
      <c r="D407" s="116" t="s">
        <v>558</v>
      </c>
      <c r="E407" s="114" t="s">
        <v>25</v>
      </c>
      <c r="F407" s="114">
        <v>100</v>
      </c>
      <c r="G407" s="114">
        <v>100</v>
      </c>
      <c r="H407" s="509">
        <f t="shared" si="7"/>
        <v>100</v>
      </c>
      <c r="I407" s="114"/>
      <c r="J407" s="114"/>
      <c r="K407" s="503"/>
      <c r="L407" s="114"/>
      <c r="M407" s="117"/>
      <c r="N407" s="117"/>
      <c r="O407" s="115"/>
      <c r="P407" s="127"/>
      <c r="Q407" s="113"/>
      <c r="R407" s="114"/>
      <c r="S407" s="604"/>
      <c r="T407" s="211"/>
    </row>
    <row r="408" spans="1:23" s="212" customFormat="1" ht="55.5" customHeight="1" x14ac:dyDescent="0.35">
      <c r="A408" s="576"/>
      <c r="B408" s="600"/>
      <c r="C408" s="114" t="s">
        <v>9</v>
      </c>
      <c r="D408" s="116" t="s">
        <v>468</v>
      </c>
      <c r="E408" s="114" t="s">
        <v>25</v>
      </c>
      <c r="F408" s="114">
        <v>100</v>
      </c>
      <c r="G408" s="114">
        <v>100</v>
      </c>
      <c r="H408" s="509">
        <f t="shared" si="7"/>
        <v>100</v>
      </c>
      <c r="I408" s="114"/>
      <c r="J408" s="118"/>
      <c r="K408" s="116"/>
      <c r="L408" s="114"/>
      <c r="M408" s="119"/>
      <c r="N408" s="119"/>
      <c r="O408" s="115"/>
      <c r="P408" s="127"/>
      <c r="Q408" s="113"/>
      <c r="R408" s="114"/>
      <c r="S408" s="604"/>
      <c r="T408" s="211"/>
    </row>
    <row r="409" spans="1:23" s="212" customFormat="1" ht="78.75" customHeight="1" x14ac:dyDescent="0.35">
      <c r="A409" s="576"/>
      <c r="B409" s="600"/>
      <c r="C409" s="114" t="s">
        <v>10</v>
      </c>
      <c r="D409" s="116" t="s">
        <v>88</v>
      </c>
      <c r="E409" s="114" t="s">
        <v>25</v>
      </c>
      <c r="F409" s="114">
        <v>90</v>
      </c>
      <c r="G409" s="114">
        <v>90</v>
      </c>
      <c r="H409" s="509">
        <f t="shared" si="7"/>
        <v>100</v>
      </c>
      <c r="I409" s="114"/>
      <c r="J409" s="118"/>
      <c r="K409" s="116"/>
      <c r="L409" s="114"/>
      <c r="M409" s="119"/>
      <c r="N409" s="119"/>
      <c r="O409" s="115"/>
      <c r="P409" s="127"/>
      <c r="Q409" s="113"/>
      <c r="R409" s="114"/>
      <c r="S409" s="604"/>
      <c r="T409" s="211"/>
    </row>
    <row r="410" spans="1:23" s="212" customFormat="1" ht="131.25" customHeight="1" x14ac:dyDescent="0.35">
      <c r="A410" s="576"/>
      <c r="B410" s="600"/>
      <c r="C410" s="114" t="s">
        <v>35</v>
      </c>
      <c r="D410" s="116" t="s">
        <v>130</v>
      </c>
      <c r="E410" s="114" t="s">
        <v>25</v>
      </c>
      <c r="F410" s="114">
        <v>100</v>
      </c>
      <c r="G410" s="114">
        <v>100</v>
      </c>
      <c r="H410" s="509">
        <f t="shared" si="7"/>
        <v>100</v>
      </c>
      <c r="I410" s="114"/>
      <c r="J410" s="118"/>
      <c r="K410" s="116"/>
      <c r="L410" s="114"/>
      <c r="M410" s="119"/>
      <c r="N410" s="119"/>
      <c r="O410" s="115"/>
      <c r="P410" s="127"/>
      <c r="Q410" s="113"/>
      <c r="R410" s="114"/>
      <c r="S410" s="604"/>
      <c r="T410" s="211"/>
    </row>
    <row r="411" spans="1:23" s="329" customFormat="1" ht="40.5" customHeight="1" x14ac:dyDescent="0.35">
      <c r="A411" s="576"/>
      <c r="B411" s="600"/>
      <c r="C411" s="191"/>
      <c r="D411" s="183" t="s">
        <v>6</v>
      </c>
      <c r="E411" s="191"/>
      <c r="F411" s="184"/>
      <c r="G411" s="184"/>
      <c r="H411" s="187"/>
      <c r="I411" s="187">
        <f>(H406+H407+H408+H409+H410)/5</f>
        <v>100</v>
      </c>
      <c r="J411" s="182"/>
      <c r="K411" s="183" t="s">
        <v>6</v>
      </c>
      <c r="L411" s="184"/>
      <c r="M411" s="188"/>
      <c r="N411" s="188"/>
      <c r="O411" s="187"/>
      <c r="P411" s="187">
        <f>O406</f>
        <v>96.730245231607626</v>
      </c>
      <c r="Q411" s="187">
        <f>(I411+P411)/2</f>
        <v>98.365122615803813</v>
      </c>
      <c r="R411" s="191" t="s">
        <v>361</v>
      </c>
      <c r="S411" s="604"/>
      <c r="T411" s="328"/>
    </row>
    <row r="412" spans="1:23" s="212" customFormat="1" ht="69" customHeight="1" x14ac:dyDescent="0.35">
      <c r="A412" s="576"/>
      <c r="B412" s="600"/>
      <c r="C412" s="502" t="s">
        <v>13</v>
      </c>
      <c r="D412" s="146" t="s">
        <v>131</v>
      </c>
      <c r="E412" s="114"/>
      <c r="F412" s="114"/>
      <c r="G412" s="114"/>
      <c r="H412" s="113"/>
      <c r="I412" s="113"/>
      <c r="J412" s="502" t="s">
        <v>13</v>
      </c>
      <c r="K412" s="146" t="s">
        <v>131</v>
      </c>
      <c r="L412" s="114"/>
      <c r="M412" s="119"/>
      <c r="N412" s="119"/>
      <c r="O412" s="113"/>
      <c r="P412" s="127"/>
      <c r="Q412" s="113"/>
      <c r="R412" s="114"/>
      <c r="S412" s="604"/>
      <c r="T412" s="211"/>
    </row>
    <row r="413" spans="1:23" s="212" customFormat="1" ht="69" customHeight="1" x14ac:dyDescent="0.35">
      <c r="A413" s="576"/>
      <c r="B413" s="600"/>
      <c r="C413" s="114" t="s">
        <v>14</v>
      </c>
      <c r="D413" s="116" t="s">
        <v>132</v>
      </c>
      <c r="E413" s="114" t="s">
        <v>25</v>
      </c>
      <c r="F413" s="114">
        <v>100</v>
      </c>
      <c r="G413" s="114">
        <v>100</v>
      </c>
      <c r="H413" s="509">
        <f t="shared" ref="H413:H417" si="8">IF(G413/F413*100&gt;100,100,G413/F413*100)</f>
        <v>100</v>
      </c>
      <c r="I413" s="114"/>
      <c r="J413" s="118" t="s">
        <v>14</v>
      </c>
      <c r="K413" s="116" t="s">
        <v>89</v>
      </c>
      <c r="L413" s="114" t="s">
        <v>38</v>
      </c>
      <c r="M413" s="114">
        <v>422</v>
      </c>
      <c r="N413" s="114">
        <v>428</v>
      </c>
      <c r="O413" s="115">
        <f>IF(N413/M413*100&gt;110,110,N413/M413*100)</f>
        <v>101.4218009478673</v>
      </c>
      <c r="P413" s="114"/>
      <c r="Q413" s="113"/>
      <c r="R413" s="114"/>
      <c r="S413" s="604"/>
      <c r="T413" s="211"/>
    </row>
    <row r="414" spans="1:23" s="212" customFormat="1" ht="63" customHeight="1" x14ac:dyDescent="0.35">
      <c r="A414" s="576"/>
      <c r="B414" s="600"/>
      <c r="C414" s="114" t="s">
        <v>15</v>
      </c>
      <c r="D414" s="116" t="s">
        <v>559</v>
      </c>
      <c r="E414" s="114" t="s">
        <v>25</v>
      </c>
      <c r="F414" s="114">
        <v>100</v>
      </c>
      <c r="G414" s="114">
        <v>100</v>
      </c>
      <c r="H414" s="509">
        <f t="shared" si="8"/>
        <v>100</v>
      </c>
      <c r="I414" s="114"/>
      <c r="J414" s="118"/>
      <c r="K414" s="116"/>
      <c r="L414" s="114"/>
      <c r="M414" s="119"/>
      <c r="N414" s="119"/>
      <c r="O414" s="115"/>
      <c r="P414" s="127"/>
      <c r="Q414" s="113"/>
      <c r="R414" s="114"/>
      <c r="S414" s="604"/>
      <c r="T414" s="211"/>
    </row>
    <row r="415" spans="1:23" s="212" customFormat="1" ht="50.25" customHeight="1" x14ac:dyDescent="0.35">
      <c r="A415" s="576"/>
      <c r="B415" s="600"/>
      <c r="C415" s="114" t="s">
        <v>39</v>
      </c>
      <c r="D415" s="116" t="s">
        <v>468</v>
      </c>
      <c r="E415" s="114" t="s">
        <v>25</v>
      </c>
      <c r="F415" s="114">
        <v>100</v>
      </c>
      <c r="G415" s="114">
        <v>100</v>
      </c>
      <c r="H415" s="509">
        <f t="shared" si="8"/>
        <v>100</v>
      </c>
      <c r="I415" s="114"/>
      <c r="J415" s="118"/>
      <c r="K415" s="116"/>
      <c r="L415" s="114"/>
      <c r="M415" s="119"/>
      <c r="N415" s="119"/>
      <c r="O415" s="115"/>
      <c r="P415" s="127"/>
      <c r="Q415" s="113"/>
      <c r="R415" s="114"/>
      <c r="S415" s="604"/>
      <c r="T415" s="211"/>
    </row>
    <row r="416" spans="1:23" s="212" customFormat="1" ht="69" customHeight="1" x14ac:dyDescent="0.35">
      <c r="A416" s="576"/>
      <c r="B416" s="600"/>
      <c r="C416" s="114" t="s">
        <v>45</v>
      </c>
      <c r="D416" s="116" t="s">
        <v>88</v>
      </c>
      <c r="E416" s="114" t="s">
        <v>25</v>
      </c>
      <c r="F416" s="114">
        <v>90</v>
      </c>
      <c r="G416" s="114">
        <v>90</v>
      </c>
      <c r="H416" s="509">
        <f t="shared" si="8"/>
        <v>100</v>
      </c>
      <c r="I416" s="114"/>
      <c r="J416" s="118"/>
      <c r="K416" s="116"/>
      <c r="L416" s="114"/>
      <c r="M416" s="119"/>
      <c r="N416" s="119"/>
      <c r="O416" s="115"/>
      <c r="P416" s="127"/>
      <c r="Q416" s="113"/>
      <c r="R416" s="114"/>
      <c r="S416" s="604"/>
      <c r="T416" s="211"/>
    </row>
    <row r="417" spans="1:20" s="212" customFormat="1" ht="120.75" customHeight="1" x14ac:dyDescent="0.35">
      <c r="A417" s="576"/>
      <c r="B417" s="600"/>
      <c r="C417" s="114" t="s">
        <v>66</v>
      </c>
      <c r="D417" s="116" t="s">
        <v>130</v>
      </c>
      <c r="E417" s="114" t="s">
        <v>25</v>
      </c>
      <c r="F417" s="114">
        <v>100</v>
      </c>
      <c r="G417" s="114">
        <v>100</v>
      </c>
      <c r="H417" s="509">
        <f t="shared" si="8"/>
        <v>100</v>
      </c>
      <c r="I417" s="114"/>
      <c r="J417" s="118"/>
      <c r="K417" s="116"/>
      <c r="L417" s="114"/>
      <c r="M417" s="119"/>
      <c r="N417" s="119"/>
      <c r="O417" s="115"/>
      <c r="P417" s="127"/>
      <c r="Q417" s="113"/>
      <c r="R417" s="114"/>
      <c r="S417" s="604"/>
      <c r="T417" s="211"/>
    </row>
    <row r="418" spans="1:20" s="124" customFormat="1" ht="40.5" customHeight="1" x14ac:dyDescent="0.35">
      <c r="A418" s="576"/>
      <c r="B418" s="600"/>
      <c r="C418" s="191"/>
      <c r="D418" s="183" t="s">
        <v>6</v>
      </c>
      <c r="E418" s="191"/>
      <c r="F418" s="184"/>
      <c r="G418" s="184"/>
      <c r="H418" s="187"/>
      <c r="I418" s="187">
        <f>(H413+H414+H415+H416+H417)/5</f>
        <v>100</v>
      </c>
      <c r="J418" s="182"/>
      <c r="K418" s="183" t="s">
        <v>6</v>
      </c>
      <c r="L418" s="184"/>
      <c r="M418" s="188"/>
      <c r="N418" s="188"/>
      <c r="O418" s="187"/>
      <c r="P418" s="187">
        <f>O413</f>
        <v>101.4218009478673</v>
      </c>
      <c r="Q418" s="187">
        <f>(I418+P418)/2</f>
        <v>100.71090047393365</v>
      </c>
      <c r="R418" s="191" t="s">
        <v>31</v>
      </c>
      <c r="S418" s="604"/>
      <c r="T418" s="123"/>
    </row>
    <row r="419" spans="1:20" s="212" customFormat="1" ht="73.5" customHeight="1" x14ac:dyDescent="0.35">
      <c r="A419" s="576"/>
      <c r="B419" s="600"/>
      <c r="C419" s="502" t="s">
        <v>28</v>
      </c>
      <c r="D419" s="146" t="s">
        <v>133</v>
      </c>
      <c r="E419" s="114"/>
      <c r="F419" s="114"/>
      <c r="G419" s="114"/>
      <c r="H419" s="113"/>
      <c r="I419" s="113"/>
      <c r="J419" s="502" t="s">
        <v>28</v>
      </c>
      <c r="K419" s="146" t="str">
        <f>D419</f>
        <v>Реализация основных общеобразовательных программ среднего общего образования</v>
      </c>
      <c r="L419" s="114"/>
      <c r="M419" s="119"/>
      <c r="N419" s="119"/>
      <c r="O419" s="113"/>
      <c r="P419" s="127"/>
      <c r="Q419" s="113"/>
      <c r="R419" s="114"/>
      <c r="S419" s="604"/>
      <c r="T419" s="211"/>
    </row>
    <row r="420" spans="1:20" s="212" customFormat="1" ht="73.5" customHeight="1" x14ac:dyDescent="0.35">
      <c r="A420" s="576"/>
      <c r="B420" s="600"/>
      <c r="C420" s="114" t="s">
        <v>29</v>
      </c>
      <c r="D420" s="116" t="s">
        <v>134</v>
      </c>
      <c r="E420" s="114" t="s">
        <v>25</v>
      </c>
      <c r="F420" s="114">
        <v>100</v>
      </c>
      <c r="G420" s="114">
        <v>100</v>
      </c>
      <c r="H420" s="509">
        <f t="shared" ref="H420:H424" si="9">IF(G420/F420*100&gt;100,100,G420/F420*100)</f>
        <v>100</v>
      </c>
      <c r="I420" s="114"/>
      <c r="J420" s="118" t="s">
        <v>29</v>
      </c>
      <c r="K420" s="116" t="s">
        <v>89</v>
      </c>
      <c r="L420" s="114" t="s">
        <v>38</v>
      </c>
      <c r="M420" s="114">
        <v>98</v>
      </c>
      <c r="N420" s="114">
        <v>95</v>
      </c>
      <c r="O420" s="115">
        <f>IF(N420/M420*100&gt;110,110,N420/M420*100)</f>
        <v>96.938775510204081</v>
      </c>
      <c r="P420" s="114"/>
      <c r="Q420" s="113"/>
      <c r="R420" s="114"/>
      <c r="S420" s="604"/>
      <c r="T420" s="211"/>
    </row>
    <row r="421" spans="1:20" s="212" customFormat="1" ht="73.5" customHeight="1" x14ac:dyDescent="0.35">
      <c r="A421" s="576"/>
      <c r="B421" s="600"/>
      <c r="C421" s="114" t="s">
        <v>30</v>
      </c>
      <c r="D421" s="116" t="s">
        <v>560</v>
      </c>
      <c r="E421" s="114" t="s">
        <v>25</v>
      </c>
      <c r="F421" s="114">
        <v>100</v>
      </c>
      <c r="G421" s="114">
        <v>100</v>
      </c>
      <c r="H421" s="509">
        <f t="shared" si="9"/>
        <v>100</v>
      </c>
      <c r="I421" s="114"/>
      <c r="J421" s="118"/>
      <c r="K421" s="116"/>
      <c r="L421" s="114"/>
      <c r="M421" s="119"/>
      <c r="N421" s="119"/>
      <c r="O421" s="115"/>
      <c r="P421" s="127"/>
      <c r="Q421" s="113"/>
      <c r="R421" s="114"/>
      <c r="S421" s="604"/>
      <c r="T421" s="211"/>
    </row>
    <row r="422" spans="1:20" s="212" customFormat="1" ht="73.5" customHeight="1" x14ac:dyDescent="0.35">
      <c r="A422" s="576"/>
      <c r="B422" s="600"/>
      <c r="C422" s="114" t="s">
        <v>52</v>
      </c>
      <c r="D422" s="116" t="s">
        <v>468</v>
      </c>
      <c r="E422" s="114" t="s">
        <v>25</v>
      </c>
      <c r="F422" s="114">
        <v>100</v>
      </c>
      <c r="G422" s="114">
        <v>100</v>
      </c>
      <c r="H422" s="509">
        <f t="shared" si="9"/>
        <v>100</v>
      </c>
      <c r="I422" s="114"/>
      <c r="J422" s="118"/>
      <c r="K422" s="116"/>
      <c r="L422" s="114"/>
      <c r="M422" s="119"/>
      <c r="N422" s="119"/>
      <c r="O422" s="115"/>
      <c r="P422" s="127"/>
      <c r="Q422" s="113"/>
      <c r="R422" s="114"/>
      <c r="S422" s="604"/>
      <c r="T422" s="211"/>
    </row>
    <row r="423" spans="1:20" s="212" customFormat="1" ht="73.5" customHeight="1" x14ac:dyDescent="0.35">
      <c r="A423" s="576"/>
      <c r="B423" s="600"/>
      <c r="C423" s="114" t="s">
        <v>53</v>
      </c>
      <c r="D423" s="116" t="s">
        <v>88</v>
      </c>
      <c r="E423" s="114" t="s">
        <v>25</v>
      </c>
      <c r="F423" s="114">
        <v>90</v>
      </c>
      <c r="G423" s="114">
        <v>90</v>
      </c>
      <c r="H423" s="509">
        <f t="shared" si="9"/>
        <v>100</v>
      </c>
      <c r="I423" s="114"/>
      <c r="J423" s="118"/>
      <c r="K423" s="116"/>
      <c r="L423" s="114"/>
      <c r="M423" s="119"/>
      <c r="N423" s="119"/>
      <c r="O423" s="115"/>
      <c r="P423" s="127"/>
      <c r="Q423" s="113"/>
      <c r="R423" s="114"/>
      <c r="S423" s="604"/>
      <c r="T423" s="211"/>
    </row>
    <row r="424" spans="1:20" s="212" customFormat="1" ht="114" customHeight="1" x14ac:dyDescent="0.35">
      <c r="A424" s="576"/>
      <c r="B424" s="600"/>
      <c r="C424" s="114" t="s">
        <v>135</v>
      </c>
      <c r="D424" s="116" t="s">
        <v>130</v>
      </c>
      <c r="E424" s="114" t="s">
        <v>25</v>
      </c>
      <c r="F424" s="114">
        <v>100</v>
      </c>
      <c r="G424" s="114">
        <v>100</v>
      </c>
      <c r="H424" s="509">
        <f t="shared" si="9"/>
        <v>100</v>
      </c>
      <c r="I424" s="114"/>
      <c r="J424" s="118"/>
      <c r="K424" s="116"/>
      <c r="L424" s="114"/>
      <c r="M424" s="119"/>
      <c r="N424" s="119"/>
      <c r="O424" s="115"/>
      <c r="P424" s="127"/>
      <c r="Q424" s="113"/>
      <c r="R424" s="114"/>
      <c r="S424" s="604"/>
      <c r="T424" s="211"/>
    </row>
    <row r="425" spans="1:20" s="331" customFormat="1" ht="40.5" customHeight="1" x14ac:dyDescent="0.35">
      <c r="A425" s="576"/>
      <c r="B425" s="600"/>
      <c r="C425" s="191"/>
      <c r="D425" s="183" t="s">
        <v>6</v>
      </c>
      <c r="E425" s="191"/>
      <c r="F425" s="184"/>
      <c r="G425" s="184"/>
      <c r="H425" s="187"/>
      <c r="I425" s="187">
        <f>(H420+H421+H422+H423+H424)/5</f>
        <v>100</v>
      </c>
      <c r="J425" s="182"/>
      <c r="K425" s="183" t="s">
        <v>6</v>
      </c>
      <c r="L425" s="184"/>
      <c r="M425" s="188"/>
      <c r="N425" s="188"/>
      <c r="O425" s="187"/>
      <c r="P425" s="187">
        <f>O420</f>
        <v>96.938775510204081</v>
      </c>
      <c r="Q425" s="187">
        <f>(I425+P425)/2</f>
        <v>98.469387755102048</v>
      </c>
      <c r="R425" s="191" t="s">
        <v>361</v>
      </c>
      <c r="S425" s="604"/>
      <c r="T425" s="330"/>
    </row>
    <row r="426" spans="1:20" s="212" customFormat="1" ht="34.5" customHeight="1" x14ac:dyDescent="0.35">
      <c r="A426" s="576"/>
      <c r="B426" s="600"/>
      <c r="C426" s="502" t="s">
        <v>42</v>
      </c>
      <c r="D426" s="146" t="s">
        <v>90</v>
      </c>
      <c r="E426" s="114"/>
      <c r="F426" s="114"/>
      <c r="G426" s="114"/>
      <c r="H426" s="113"/>
      <c r="I426" s="113"/>
      <c r="J426" s="502" t="s">
        <v>42</v>
      </c>
      <c r="K426" s="146" t="s">
        <v>90</v>
      </c>
      <c r="L426" s="114"/>
      <c r="M426" s="119"/>
      <c r="N426" s="119"/>
      <c r="O426" s="113"/>
      <c r="P426" s="127"/>
      <c r="Q426" s="113"/>
      <c r="R426" s="114"/>
      <c r="S426" s="604"/>
      <c r="T426" s="211"/>
    </row>
    <row r="427" spans="1:20" s="212" customFormat="1" ht="49.5" customHeight="1" x14ac:dyDescent="0.35">
      <c r="A427" s="576"/>
      <c r="B427" s="600"/>
      <c r="C427" s="114" t="s">
        <v>43</v>
      </c>
      <c r="D427" s="116" t="s">
        <v>136</v>
      </c>
      <c r="E427" s="114" t="s">
        <v>25</v>
      </c>
      <c r="F427" s="114">
        <v>100</v>
      </c>
      <c r="G427" s="114">
        <v>100</v>
      </c>
      <c r="H427" s="509">
        <f t="shared" ref="H427:H428" si="10">IF(G427/F427*100&gt;100,100,G427/F427*100)</f>
        <v>100</v>
      </c>
      <c r="I427" s="114"/>
      <c r="J427" s="118" t="s">
        <v>43</v>
      </c>
      <c r="K427" s="116" t="s">
        <v>336</v>
      </c>
      <c r="L427" s="114" t="s">
        <v>38</v>
      </c>
      <c r="M427" s="114">
        <v>165</v>
      </c>
      <c r="N427" s="114">
        <v>165</v>
      </c>
      <c r="O427" s="115">
        <f>IF(N427/M427*100&gt;110,110,N427/M427*100)</f>
        <v>100</v>
      </c>
      <c r="P427" s="127"/>
      <c r="Q427" s="113"/>
      <c r="R427" s="114"/>
      <c r="S427" s="604"/>
      <c r="T427" s="211"/>
    </row>
    <row r="428" spans="1:20" s="212" customFormat="1" ht="81.75" customHeight="1" x14ac:dyDescent="0.35">
      <c r="A428" s="576"/>
      <c r="B428" s="600"/>
      <c r="C428" s="114" t="s">
        <v>137</v>
      </c>
      <c r="D428" s="116" t="s">
        <v>138</v>
      </c>
      <c r="E428" s="114" t="s">
        <v>25</v>
      </c>
      <c r="F428" s="114">
        <v>90</v>
      </c>
      <c r="G428" s="114">
        <v>90</v>
      </c>
      <c r="H428" s="509">
        <f t="shared" si="10"/>
        <v>100</v>
      </c>
      <c r="I428" s="114"/>
      <c r="J428" s="118"/>
      <c r="K428" s="116"/>
      <c r="L428" s="114"/>
      <c r="M428" s="119"/>
      <c r="N428" s="119"/>
      <c r="O428" s="115"/>
      <c r="P428" s="127"/>
      <c r="Q428" s="113"/>
      <c r="R428" s="114"/>
      <c r="S428" s="604"/>
      <c r="T428" s="211"/>
    </row>
    <row r="429" spans="1:20" s="124" customFormat="1" ht="40.5" customHeight="1" x14ac:dyDescent="0.35">
      <c r="A429" s="576"/>
      <c r="B429" s="600"/>
      <c r="C429" s="191"/>
      <c r="D429" s="183" t="s">
        <v>6</v>
      </c>
      <c r="E429" s="191"/>
      <c r="F429" s="184"/>
      <c r="G429" s="184"/>
      <c r="H429" s="187"/>
      <c r="I429" s="187">
        <f>(H427+H428)/2</f>
        <v>100</v>
      </c>
      <c r="J429" s="182"/>
      <c r="K429" s="183" t="s">
        <v>6</v>
      </c>
      <c r="L429" s="184"/>
      <c r="M429" s="188"/>
      <c r="N429" s="188"/>
      <c r="O429" s="187"/>
      <c r="P429" s="187">
        <f>O427</f>
        <v>100</v>
      </c>
      <c r="Q429" s="187">
        <f>(I429+P429)/2</f>
        <v>100</v>
      </c>
      <c r="R429" s="191" t="s">
        <v>31</v>
      </c>
      <c r="S429" s="604"/>
      <c r="T429" s="123"/>
    </row>
    <row r="430" spans="1:20" s="212" customFormat="1" ht="57" customHeight="1" x14ac:dyDescent="0.35">
      <c r="A430" s="576"/>
      <c r="B430" s="600"/>
      <c r="C430" s="502" t="s">
        <v>164</v>
      </c>
      <c r="D430" s="146" t="s">
        <v>211</v>
      </c>
      <c r="E430" s="114"/>
      <c r="F430" s="114"/>
      <c r="G430" s="114"/>
      <c r="H430" s="113"/>
      <c r="I430" s="113"/>
      <c r="J430" s="502" t="s">
        <v>164</v>
      </c>
      <c r="K430" s="146" t="str">
        <f>D430</f>
        <v>Реализация дополнительных общеразвивающих программ</v>
      </c>
      <c r="L430" s="114"/>
      <c r="M430" s="119"/>
      <c r="N430" s="119"/>
      <c r="O430" s="113"/>
      <c r="P430" s="127"/>
      <c r="Q430" s="113"/>
      <c r="R430" s="114"/>
      <c r="S430" s="604"/>
      <c r="T430" s="211"/>
    </row>
    <row r="431" spans="1:20" s="212" customFormat="1" ht="49.5" customHeight="1" x14ac:dyDescent="0.35">
      <c r="A431" s="576"/>
      <c r="B431" s="600"/>
      <c r="C431" s="114" t="s">
        <v>165</v>
      </c>
      <c r="D431" s="116" t="s">
        <v>138</v>
      </c>
      <c r="E431" s="114" t="s">
        <v>25</v>
      </c>
      <c r="F431" s="114">
        <v>90</v>
      </c>
      <c r="G431" s="114">
        <v>90</v>
      </c>
      <c r="H431" s="509">
        <f>IF(G431/F431*100&gt;100,100,G431/F431*100)</f>
        <v>100</v>
      </c>
      <c r="I431" s="114"/>
      <c r="J431" s="118" t="s">
        <v>165</v>
      </c>
      <c r="K431" s="116" t="s">
        <v>203</v>
      </c>
      <c r="L431" s="114" t="s">
        <v>337</v>
      </c>
      <c r="M431" s="114">
        <v>66096</v>
      </c>
      <c r="N431" s="114">
        <v>68706</v>
      </c>
      <c r="O431" s="115">
        <f>IF(N431/M431*100&gt;110,110,N431/M431*100)</f>
        <v>103.94880174291939</v>
      </c>
      <c r="P431" s="127"/>
      <c r="Q431" s="113"/>
      <c r="R431" s="114"/>
      <c r="S431" s="604"/>
      <c r="T431" s="211"/>
    </row>
    <row r="432" spans="1:20" s="124" customFormat="1" ht="37.5" customHeight="1" x14ac:dyDescent="0.35">
      <c r="A432" s="576"/>
      <c r="B432" s="600"/>
      <c r="C432" s="191"/>
      <c r="D432" s="183" t="s">
        <v>6</v>
      </c>
      <c r="E432" s="191"/>
      <c r="F432" s="184"/>
      <c r="G432" s="184"/>
      <c r="H432" s="187"/>
      <c r="I432" s="187">
        <f>H431</f>
        <v>100</v>
      </c>
      <c r="J432" s="182"/>
      <c r="K432" s="183" t="s">
        <v>6</v>
      </c>
      <c r="L432" s="184"/>
      <c r="M432" s="188"/>
      <c r="N432" s="188"/>
      <c r="O432" s="187"/>
      <c r="P432" s="187">
        <f>O431</f>
        <v>103.94880174291939</v>
      </c>
      <c r="Q432" s="187">
        <f>(I432+P432)/2</f>
        <v>101.97440087145969</v>
      </c>
      <c r="R432" s="191" t="s">
        <v>31</v>
      </c>
      <c r="S432" s="605"/>
      <c r="T432" s="123"/>
    </row>
    <row r="433" spans="1:20" s="212" customFormat="1" ht="88.5" customHeight="1" x14ac:dyDescent="0.35">
      <c r="A433" s="576">
        <v>40</v>
      </c>
      <c r="B433" s="600" t="s">
        <v>140</v>
      </c>
      <c r="C433" s="502" t="s">
        <v>12</v>
      </c>
      <c r="D433" s="146" t="s">
        <v>128</v>
      </c>
      <c r="E433" s="502"/>
      <c r="F433" s="502"/>
      <c r="G433" s="502"/>
      <c r="H433" s="113"/>
      <c r="I433" s="113"/>
      <c r="J433" s="502" t="s">
        <v>12</v>
      </c>
      <c r="K433" s="146" t="s">
        <v>128</v>
      </c>
      <c r="L433" s="114"/>
      <c r="M433" s="114"/>
      <c r="N433" s="114"/>
      <c r="O433" s="113"/>
      <c r="P433" s="127"/>
      <c r="Q433" s="113"/>
      <c r="R433" s="114"/>
      <c r="S433" s="579" t="s">
        <v>280</v>
      </c>
      <c r="T433" s="211"/>
    </row>
    <row r="434" spans="1:20" s="212" customFormat="1" ht="78.75" customHeight="1" x14ac:dyDescent="0.35">
      <c r="A434" s="576"/>
      <c r="B434" s="600"/>
      <c r="C434" s="114" t="s">
        <v>7</v>
      </c>
      <c r="D434" s="116" t="s">
        <v>129</v>
      </c>
      <c r="E434" s="114" t="s">
        <v>25</v>
      </c>
      <c r="F434" s="114">
        <v>100</v>
      </c>
      <c r="G434" s="114">
        <v>100</v>
      </c>
      <c r="H434" s="509">
        <f t="shared" ref="H434:H438" si="11">IF(G434/F434*100&gt;100,100,G434/F434*100)</f>
        <v>100</v>
      </c>
      <c r="I434" s="114"/>
      <c r="J434" s="114" t="s">
        <v>7</v>
      </c>
      <c r="K434" s="116" t="s">
        <v>89</v>
      </c>
      <c r="L434" s="114" t="s">
        <v>38</v>
      </c>
      <c r="M434" s="114">
        <v>206</v>
      </c>
      <c r="N434" s="114">
        <v>207</v>
      </c>
      <c r="O434" s="115">
        <f>IF(N434/M434*100&gt;110,110,N434/M434*100)</f>
        <v>100.48543689320388</v>
      </c>
      <c r="P434" s="127"/>
      <c r="Q434" s="113"/>
      <c r="R434" s="114"/>
      <c r="S434" s="579"/>
      <c r="T434" s="211"/>
    </row>
    <row r="435" spans="1:20" s="212" customFormat="1" ht="37.5" customHeight="1" x14ac:dyDescent="0.35">
      <c r="A435" s="576"/>
      <c r="B435" s="600"/>
      <c r="C435" s="114" t="s">
        <v>8</v>
      </c>
      <c r="D435" s="116" t="s">
        <v>561</v>
      </c>
      <c r="E435" s="114" t="s">
        <v>25</v>
      </c>
      <c r="F435" s="114">
        <v>100</v>
      </c>
      <c r="G435" s="114">
        <v>100</v>
      </c>
      <c r="H435" s="509">
        <f t="shared" si="11"/>
        <v>100</v>
      </c>
      <c r="I435" s="114"/>
      <c r="J435" s="114"/>
      <c r="K435" s="503"/>
      <c r="L435" s="114"/>
      <c r="M435" s="117"/>
      <c r="N435" s="117"/>
      <c r="O435" s="115"/>
      <c r="P435" s="127"/>
      <c r="Q435" s="113"/>
      <c r="R435" s="114"/>
      <c r="S435" s="579"/>
      <c r="T435" s="211"/>
    </row>
    <row r="436" spans="1:20" s="212" customFormat="1" ht="49.5" customHeight="1" x14ac:dyDescent="0.35">
      <c r="A436" s="576"/>
      <c r="B436" s="600"/>
      <c r="C436" s="114" t="s">
        <v>9</v>
      </c>
      <c r="D436" s="116" t="s">
        <v>468</v>
      </c>
      <c r="E436" s="114" t="s">
        <v>25</v>
      </c>
      <c r="F436" s="114">
        <v>100</v>
      </c>
      <c r="G436" s="114">
        <v>100</v>
      </c>
      <c r="H436" s="509">
        <f t="shared" si="11"/>
        <v>100</v>
      </c>
      <c r="I436" s="114"/>
      <c r="J436" s="118"/>
      <c r="K436" s="116"/>
      <c r="L436" s="114"/>
      <c r="M436" s="119"/>
      <c r="N436" s="119"/>
      <c r="O436" s="115"/>
      <c r="P436" s="127"/>
      <c r="Q436" s="113"/>
      <c r="R436" s="114"/>
      <c r="S436" s="579"/>
      <c r="T436" s="211"/>
    </row>
    <row r="437" spans="1:20" s="212" customFormat="1" ht="63.75" customHeight="1" x14ac:dyDescent="0.35">
      <c r="A437" s="576"/>
      <c r="B437" s="600"/>
      <c r="C437" s="114" t="s">
        <v>10</v>
      </c>
      <c r="D437" s="116" t="s">
        <v>88</v>
      </c>
      <c r="E437" s="114" t="s">
        <v>25</v>
      </c>
      <c r="F437" s="114">
        <v>90</v>
      </c>
      <c r="G437" s="114">
        <v>100</v>
      </c>
      <c r="H437" s="509">
        <f t="shared" si="11"/>
        <v>100</v>
      </c>
      <c r="I437" s="114"/>
      <c r="J437" s="118"/>
      <c r="K437" s="116"/>
      <c r="L437" s="114"/>
      <c r="M437" s="119"/>
      <c r="N437" s="119"/>
      <c r="O437" s="115"/>
      <c r="P437" s="127"/>
      <c r="Q437" s="113"/>
      <c r="R437" s="114"/>
      <c r="S437" s="579"/>
      <c r="T437" s="211"/>
    </row>
    <row r="438" spans="1:20" s="212" customFormat="1" ht="114" customHeight="1" x14ac:dyDescent="0.35">
      <c r="A438" s="576"/>
      <c r="B438" s="600"/>
      <c r="C438" s="114" t="s">
        <v>35</v>
      </c>
      <c r="D438" s="116" t="s">
        <v>130</v>
      </c>
      <c r="E438" s="114" t="s">
        <v>25</v>
      </c>
      <c r="F438" s="114">
        <v>100</v>
      </c>
      <c r="G438" s="114">
        <v>100</v>
      </c>
      <c r="H438" s="509">
        <f t="shared" si="11"/>
        <v>100</v>
      </c>
      <c r="I438" s="114"/>
      <c r="J438" s="118"/>
      <c r="K438" s="116"/>
      <c r="L438" s="114"/>
      <c r="M438" s="119"/>
      <c r="N438" s="119"/>
      <c r="O438" s="115"/>
      <c r="P438" s="127"/>
      <c r="Q438" s="113"/>
      <c r="R438" s="114"/>
      <c r="S438" s="579"/>
      <c r="T438" s="211"/>
    </row>
    <row r="439" spans="1:20" s="124" customFormat="1" ht="40.5" customHeight="1" x14ac:dyDescent="0.35">
      <c r="A439" s="576"/>
      <c r="B439" s="600"/>
      <c r="C439" s="191"/>
      <c r="D439" s="183" t="s">
        <v>6</v>
      </c>
      <c r="E439" s="191"/>
      <c r="F439" s="184"/>
      <c r="G439" s="184"/>
      <c r="H439" s="187"/>
      <c r="I439" s="187">
        <f>(H434+H435+H436+H437+H438)/5</f>
        <v>100</v>
      </c>
      <c r="J439" s="182"/>
      <c r="K439" s="183" t="s">
        <v>6</v>
      </c>
      <c r="L439" s="184"/>
      <c r="M439" s="188"/>
      <c r="N439" s="188"/>
      <c r="O439" s="187"/>
      <c r="P439" s="187">
        <f>O434</f>
        <v>100.48543689320388</v>
      </c>
      <c r="Q439" s="187">
        <f>(I439+P439)/2</f>
        <v>100.24271844660194</v>
      </c>
      <c r="R439" s="191" t="s">
        <v>31</v>
      </c>
      <c r="S439" s="579"/>
      <c r="T439" s="123"/>
    </row>
    <row r="440" spans="1:20" s="212" customFormat="1" ht="90" customHeight="1" x14ac:dyDescent="0.35">
      <c r="A440" s="576"/>
      <c r="B440" s="600"/>
      <c r="C440" s="502" t="s">
        <v>13</v>
      </c>
      <c r="D440" s="146" t="s">
        <v>131</v>
      </c>
      <c r="E440" s="114"/>
      <c r="F440" s="114"/>
      <c r="G440" s="114"/>
      <c r="H440" s="113"/>
      <c r="I440" s="113"/>
      <c r="J440" s="502" t="s">
        <v>13</v>
      </c>
      <c r="K440" s="146" t="str">
        <f>D440</f>
        <v>Реализация основных общеобразовательных программ основного общего образования</v>
      </c>
      <c r="L440" s="114"/>
      <c r="M440" s="119"/>
      <c r="N440" s="119"/>
      <c r="O440" s="113"/>
      <c r="P440" s="127"/>
      <c r="Q440" s="113"/>
      <c r="R440" s="114"/>
      <c r="S440" s="579"/>
      <c r="T440" s="211"/>
    </row>
    <row r="441" spans="1:20" s="212" customFormat="1" ht="75.75" customHeight="1" x14ac:dyDescent="0.35">
      <c r="A441" s="576"/>
      <c r="B441" s="600"/>
      <c r="C441" s="114" t="s">
        <v>14</v>
      </c>
      <c r="D441" s="116" t="s">
        <v>132</v>
      </c>
      <c r="E441" s="114" t="s">
        <v>25</v>
      </c>
      <c r="F441" s="114">
        <v>100</v>
      </c>
      <c r="G441" s="114">
        <v>100</v>
      </c>
      <c r="H441" s="509">
        <f t="shared" ref="H441:H443" si="12">IF(G441/F441*100&gt;100,100,G441/F441*100)</f>
        <v>100</v>
      </c>
      <c r="I441" s="114"/>
      <c r="J441" s="118" t="s">
        <v>14</v>
      </c>
      <c r="K441" s="116" t="s">
        <v>89</v>
      </c>
      <c r="L441" s="114" t="s">
        <v>38</v>
      </c>
      <c r="M441" s="114">
        <v>260</v>
      </c>
      <c r="N441" s="114">
        <v>262</v>
      </c>
      <c r="O441" s="115">
        <f>IF(N441/M441*100&gt;110,110,N441/M441*100)</f>
        <v>100.76923076923077</v>
      </c>
      <c r="P441" s="114"/>
      <c r="Q441" s="113"/>
      <c r="R441" s="114"/>
      <c r="S441" s="579"/>
      <c r="T441" s="211"/>
    </row>
    <row r="442" spans="1:20" s="212" customFormat="1" ht="39.75" customHeight="1" x14ac:dyDescent="0.35">
      <c r="A442" s="576"/>
      <c r="B442" s="600"/>
      <c r="C442" s="114" t="s">
        <v>15</v>
      </c>
      <c r="D442" s="116" t="s">
        <v>559</v>
      </c>
      <c r="E442" s="114" t="s">
        <v>25</v>
      </c>
      <c r="F442" s="114">
        <v>100</v>
      </c>
      <c r="G442" s="114">
        <v>100</v>
      </c>
      <c r="H442" s="509">
        <f t="shared" si="12"/>
        <v>100</v>
      </c>
      <c r="I442" s="114"/>
      <c r="J442" s="118"/>
      <c r="K442" s="116"/>
      <c r="L442" s="114"/>
      <c r="M442" s="119"/>
      <c r="N442" s="119"/>
      <c r="O442" s="115"/>
      <c r="P442" s="127"/>
      <c r="Q442" s="113"/>
      <c r="R442" s="114"/>
      <c r="S442" s="579"/>
      <c r="T442" s="211"/>
    </row>
    <row r="443" spans="1:20" s="212" customFormat="1" ht="45.75" customHeight="1" x14ac:dyDescent="0.35">
      <c r="A443" s="576"/>
      <c r="B443" s="600"/>
      <c r="C443" s="114" t="s">
        <v>39</v>
      </c>
      <c r="D443" s="116" t="s">
        <v>468</v>
      </c>
      <c r="E443" s="114" t="s">
        <v>25</v>
      </c>
      <c r="F443" s="114">
        <v>100</v>
      </c>
      <c r="G443" s="114">
        <v>100</v>
      </c>
      <c r="H443" s="509">
        <f t="shared" si="12"/>
        <v>100</v>
      </c>
      <c r="I443" s="114"/>
      <c r="J443" s="118"/>
      <c r="K443" s="116"/>
      <c r="L443" s="114"/>
      <c r="M443" s="119"/>
      <c r="N443" s="119"/>
      <c r="O443" s="115"/>
      <c r="P443" s="127"/>
      <c r="Q443" s="113"/>
      <c r="R443" s="114"/>
      <c r="S443" s="579"/>
      <c r="T443" s="211"/>
    </row>
    <row r="444" spans="1:20" s="212" customFormat="1" ht="69.75" customHeight="1" x14ac:dyDescent="0.35">
      <c r="A444" s="576"/>
      <c r="B444" s="600"/>
      <c r="C444" s="114" t="s">
        <v>45</v>
      </c>
      <c r="D444" s="116" t="s">
        <v>88</v>
      </c>
      <c r="E444" s="114" t="s">
        <v>25</v>
      </c>
      <c r="F444" s="114">
        <v>90</v>
      </c>
      <c r="G444" s="114">
        <v>100</v>
      </c>
      <c r="H444" s="509">
        <f>IF(G444/F444*100&gt;100,100,G444/F444*100)</f>
        <v>100</v>
      </c>
      <c r="I444" s="114"/>
      <c r="J444" s="118"/>
      <c r="K444" s="116"/>
      <c r="L444" s="114"/>
      <c r="M444" s="119"/>
      <c r="N444" s="119"/>
      <c r="O444" s="115"/>
      <c r="P444" s="127"/>
      <c r="Q444" s="113"/>
      <c r="R444" s="114"/>
      <c r="S444" s="579"/>
      <c r="T444" s="211"/>
    </row>
    <row r="445" spans="1:20" s="212" customFormat="1" ht="116.25" customHeight="1" x14ac:dyDescent="0.35">
      <c r="A445" s="576"/>
      <c r="B445" s="600"/>
      <c r="C445" s="114" t="s">
        <v>66</v>
      </c>
      <c r="D445" s="116" t="s">
        <v>130</v>
      </c>
      <c r="E445" s="114" t="s">
        <v>25</v>
      </c>
      <c r="F445" s="114">
        <v>100</v>
      </c>
      <c r="G445" s="114">
        <v>100</v>
      </c>
      <c r="H445" s="509">
        <f>IF(G445/F445*100&gt;100,100,G445/F445*100)</f>
        <v>100</v>
      </c>
      <c r="I445" s="114"/>
      <c r="J445" s="118"/>
      <c r="K445" s="116"/>
      <c r="L445" s="114"/>
      <c r="M445" s="119"/>
      <c r="N445" s="119"/>
      <c r="O445" s="115"/>
      <c r="P445" s="127"/>
      <c r="Q445" s="113"/>
      <c r="R445" s="114"/>
      <c r="S445" s="579"/>
      <c r="T445" s="211"/>
    </row>
    <row r="446" spans="1:20" s="331" customFormat="1" ht="40.5" customHeight="1" x14ac:dyDescent="0.35">
      <c r="A446" s="576"/>
      <c r="B446" s="600"/>
      <c r="C446" s="191"/>
      <c r="D446" s="183" t="s">
        <v>6</v>
      </c>
      <c r="E446" s="191"/>
      <c r="F446" s="184"/>
      <c r="G446" s="184"/>
      <c r="H446" s="187"/>
      <c r="I446" s="187">
        <f>(H441+H442+H443+H444+H445)/5</f>
        <v>100</v>
      </c>
      <c r="J446" s="182"/>
      <c r="K446" s="183" t="s">
        <v>6</v>
      </c>
      <c r="L446" s="184"/>
      <c r="M446" s="188"/>
      <c r="N446" s="188"/>
      <c r="O446" s="187"/>
      <c r="P446" s="187">
        <f>O441</f>
        <v>100.76923076923077</v>
      </c>
      <c r="Q446" s="187">
        <f>(I446+P446)/2</f>
        <v>100.38461538461539</v>
      </c>
      <c r="R446" s="191" t="s">
        <v>31</v>
      </c>
      <c r="S446" s="579"/>
      <c r="T446" s="330"/>
    </row>
    <row r="447" spans="1:20" s="212" customFormat="1" ht="75.75" customHeight="1" x14ac:dyDescent="0.35">
      <c r="A447" s="576"/>
      <c r="B447" s="600"/>
      <c r="C447" s="502" t="s">
        <v>28</v>
      </c>
      <c r="D447" s="146" t="s">
        <v>133</v>
      </c>
      <c r="E447" s="114"/>
      <c r="F447" s="114"/>
      <c r="G447" s="114"/>
      <c r="H447" s="113"/>
      <c r="I447" s="113"/>
      <c r="J447" s="502" t="s">
        <v>28</v>
      </c>
      <c r="K447" s="146" t="str">
        <f>D447</f>
        <v>Реализация основных общеобразовательных программ среднего общего образования</v>
      </c>
      <c r="L447" s="114"/>
      <c r="M447" s="119"/>
      <c r="N447" s="119"/>
      <c r="O447" s="113"/>
      <c r="P447" s="127"/>
      <c r="Q447" s="113"/>
      <c r="R447" s="114"/>
      <c r="S447" s="579"/>
      <c r="T447" s="211"/>
    </row>
    <row r="448" spans="1:20" s="212" customFormat="1" ht="71.25" customHeight="1" x14ac:dyDescent="0.35">
      <c r="A448" s="576"/>
      <c r="B448" s="600"/>
      <c r="C448" s="114" t="s">
        <v>29</v>
      </c>
      <c r="D448" s="116" t="s">
        <v>134</v>
      </c>
      <c r="E448" s="114" t="s">
        <v>25</v>
      </c>
      <c r="F448" s="114">
        <v>100</v>
      </c>
      <c r="G448" s="114">
        <v>100</v>
      </c>
      <c r="H448" s="509">
        <f t="shared" ref="H448:H452" si="13">IF(G448/F448*100&gt;100,100,G448/F448*100)</f>
        <v>100</v>
      </c>
      <c r="I448" s="114"/>
      <c r="J448" s="118" t="s">
        <v>29</v>
      </c>
      <c r="K448" s="116" t="s">
        <v>89</v>
      </c>
      <c r="L448" s="114" t="s">
        <v>38</v>
      </c>
      <c r="M448" s="114">
        <v>89</v>
      </c>
      <c r="N448" s="114">
        <v>89</v>
      </c>
      <c r="O448" s="115">
        <f>IF(N448/M448*100&gt;110,110,N448/M448*100)</f>
        <v>100</v>
      </c>
      <c r="P448" s="114"/>
      <c r="Q448" s="113"/>
      <c r="R448" s="114"/>
      <c r="S448" s="579"/>
      <c r="T448" s="211"/>
    </row>
    <row r="449" spans="1:20" s="212" customFormat="1" ht="38.25" customHeight="1" x14ac:dyDescent="0.35">
      <c r="A449" s="576"/>
      <c r="B449" s="600"/>
      <c r="C449" s="114" t="s">
        <v>30</v>
      </c>
      <c r="D449" s="116" t="s">
        <v>560</v>
      </c>
      <c r="E449" s="114" t="s">
        <v>25</v>
      </c>
      <c r="F449" s="114">
        <v>100</v>
      </c>
      <c r="G449" s="114">
        <v>100</v>
      </c>
      <c r="H449" s="509">
        <f t="shared" si="13"/>
        <v>100</v>
      </c>
      <c r="I449" s="114"/>
      <c r="J449" s="118"/>
      <c r="K449" s="116"/>
      <c r="L449" s="114"/>
      <c r="M449" s="119"/>
      <c r="N449" s="119"/>
      <c r="O449" s="115"/>
      <c r="P449" s="127"/>
      <c r="Q449" s="113"/>
      <c r="R449" s="114"/>
      <c r="S449" s="579"/>
      <c r="T449" s="211"/>
    </row>
    <row r="450" spans="1:20" s="212" customFormat="1" ht="47.25" customHeight="1" x14ac:dyDescent="0.35">
      <c r="A450" s="576"/>
      <c r="B450" s="600"/>
      <c r="C450" s="114" t="s">
        <v>52</v>
      </c>
      <c r="D450" s="116" t="s">
        <v>468</v>
      </c>
      <c r="E450" s="114" t="s">
        <v>25</v>
      </c>
      <c r="F450" s="114">
        <v>100</v>
      </c>
      <c r="G450" s="114">
        <v>100</v>
      </c>
      <c r="H450" s="509">
        <f t="shared" si="13"/>
        <v>100</v>
      </c>
      <c r="I450" s="114"/>
      <c r="J450" s="118"/>
      <c r="K450" s="116"/>
      <c r="L450" s="114"/>
      <c r="M450" s="119"/>
      <c r="N450" s="119"/>
      <c r="O450" s="115"/>
      <c r="P450" s="127"/>
      <c r="Q450" s="113"/>
      <c r="R450" s="114"/>
      <c r="S450" s="579"/>
      <c r="T450" s="211"/>
    </row>
    <row r="451" spans="1:20" s="212" customFormat="1" ht="65.25" customHeight="1" x14ac:dyDescent="0.35">
      <c r="A451" s="576"/>
      <c r="B451" s="600"/>
      <c r="C451" s="114" t="s">
        <v>53</v>
      </c>
      <c r="D451" s="116" t="s">
        <v>88</v>
      </c>
      <c r="E451" s="114" t="s">
        <v>25</v>
      </c>
      <c r="F451" s="114">
        <v>90</v>
      </c>
      <c r="G451" s="114">
        <v>100</v>
      </c>
      <c r="H451" s="509">
        <f t="shared" si="13"/>
        <v>100</v>
      </c>
      <c r="I451" s="114"/>
      <c r="J451" s="118"/>
      <c r="K451" s="116"/>
      <c r="L451" s="114"/>
      <c r="M451" s="119"/>
      <c r="N451" s="119"/>
      <c r="O451" s="115"/>
      <c r="P451" s="127"/>
      <c r="Q451" s="113"/>
      <c r="R451" s="114"/>
      <c r="S451" s="579"/>
      <c r="T451" s="211"/>
    </row>
    <row r="452" spans="1:20" s="212" customFormat="1" ht="108" customHeight="1" x14ac:dyDescent="0.35">
      <c r="A452" s="576"/>
      <c r="B452" s="600"/>
      <c r="C452" s="114" t="s">
        <v>135</v>
      </c>
      <c r="D452" s="116" t="s">
        <v>130</v>
      </c>
      <c r="E452" s="114" t="s">
        <v>25</v>
      </c>
      <c r="F452" s="114">
        <v>100</v>
      </c>
      <c r="G452" s="114">
        <v>100</v>
      </c>
      <c r="H452" s="509">
        <f t="shared" si="13"/>
        <v>100</v>
      </c>
      <c r="I452" s="114"/>
      <c r="J452" s="118"/>
      <c r="K452" s="116"/>
      <c r="L452" s="114"/>
      <c r="M452" s="119"/>
      <c r="N452" s="119"/>
      <c r="O452" s="115"/>
      <c r="P452" s="127"/>
      <c r="Q452" s="113"/>
      <c r="R452" s="114"/>
      <c r="S452" s="579"/>
      <c r="T452" s="211"/>
    </row>
    <row r="453" spans="1:20" s="331" customFormat="1" ht="40.5" customHeight="1" x14ac:dyDescent="0.35">
      <c r="A453" s="576"/>
      <c r="B453" s="600"/>
      <c r="C453" s="191"/>
      <c r="D453" s="183" t="s">
        <v>6</v>
      </c>
      <c r="E453" s="191"/>
      <c r="F453" s="184"/>
      <c r="G453" s="184"/>
      <c r="H453" s="187"/>
      <c r="I453" s="187">
        <f>(H448+H449+H450+H451+H452)/5</f>
        <v>100</v>
      </c>
      <c r="J453" s="182"/>
      <c r="K453" s="183" t="s">
        <v>6</v>
      </c>
      <c r="L453" s="184"/>
      <c r="M453" s="188"/>
      <c r="N453" s="188"/>
      <c r="O453" s="187"/>
      <c r="P453" s="187">
        <f>O448</f>
        <v>100</v>
      </c>
      <c r="Q453" s="187">
        <f>(I453+P453)/2</f>
        <v>100</v>
      </c>
      <c r="R453" s="191" t="s">
        <v>31</v>
      </c>
      <c r="S453" s="579"/>
      <c r="T453" s="330"/>
    </row>
    <row r="454" spans="1:20" s="212" customFormat="1" ht="35.25" customHeight="1" x14ac:dyDescent="0.35">
      <c r="A454" s="576"/>
      <c r="B454" s="600"/>
      <c r="C454" s="502" t="s">
        <v>42</v>
      </c>
      <c r="D454" s="146" t="s">
        <v>90</v>
      </c>
      <c r="E454" s="114"/>
      <c r="F454" s="114"/>
      <c r="G454" s="114"/>
      <c r="H454" s="113"/>
      <c r="I454" s="113"/>
      <c r="J454" s="502" t="s">
        <v>42</v>
      </c>
      <c r="K454" s="146" t="s">
        <v>90</v>
      </c>
      <c r="L454" s="114"/>
      <c r="M454" s="119"/>
      <c r="N454" s="119"/>
      <c r="O454" s="113"/>
      <c r="P454" s="127"/>
      <c r="Q454" s="113"/>
      <c r="R454" s="114"/>
      <c r="S454" s="579"/>
      <c r="T454" s="211"/>
    </row>
    <row r="455" spans="1:20" s="212" customFormat="1" ht="51" customHeight="1" x14ac:dyDescent="0.35">
      <c r="A455" s="576"/>
      <c r="B455" s="600"/>
      <c r="C455" s="114" t="s">
        <v>43</v>
      </c>
      <c r="D455" s="116" t="s">
        <v>136</v>
      </c>
      <c r="E455" s="114" t="s">
        <v>25</v>
      </c>
      <c r="F455" s="114">
        <v>100</v>
      </c>
      <c r="G455" s="114">
        <v>100</v>
      </c>
      <c r="H455" s="509">
        <f t="shared" ref="H455:H456" si="14">IF(G455/F455*100&gt;100,100,G455/F455*100)</f>
        <v>100</v>
      </c>
      <c r="I455" s="114"/>
      <c r="J455" s="118" t="s">
        <v>43</v>
      </c>
      <c r="K455" s="116" t="s">
        <v>89</v>
      </c>
      <c r="L455" s="114" t="s">
        <v>38</v>
      </c>
      <c r="M455" s="114">
        <v>208</v>
      </c>
      <c r="N455" s="114">
        <v>207</v>
      </c>
      <c r="O455" s="115">
        <f>IF(N455/M455*100&gt;110,110,N455/M455*100)</f>
        <v>99.519230769230774</v>
      </c>
      <c r="P455" s="127"/>
      <c r="Q455" s="113"/>
      <c r="R455" s="114"/>
      <c r="S455" s="579"/>
      <c r="T455" s="211"/>
    </row>
    <row r="456" spans="1:20" s="212" customFormat="1" ht="93" customHeight="1" x14ac:dyDescent="0.35">
      <c r="A456" s="576"/>
      <c r="B456" s="600"/>
      <c r="C456" s="114" t="s">
        <v>137</v>
      </c>
      <c r="D456" s="116" t="s">
        <v>138</v>
      </c>
      <c r="E456" s="114" t="s">
        <v>25</v>
      </c>
      <c r="F456" s="114">
        <v>90</v>
      </c>
      <c r="G456" s="114">
        <v>90</v>
      </c>
      <c r="H456" s="509">
        <f t="shared" si="14"/>
        <v>100</v>
      </c>
      <c r="I456" s="114"/>
      <c r="J456" s="118"/>
      <c r="K456" s="116"/>
      <c r="L456" s="114"/>
      <c r="M456" s="119"/>
      <c r="N456" s="119"/>
      <c r="O456" s="115"/>
      <c r="P456" s="127"/>
      <c r="Q456" s="113"/>
      <c r="R456" s="114"/>
      <c r="S456" s="579"/>
      <c r="T456" s="211"/>
    </row>
    <row r="457" spans="1:20" s="331" customFormat="1" ht="40.5" customHeight="1" x14ac:dyDescent="0.35">
      <c r="A457" s="576"/>
      <c r="B457" s="600"/>
      <c r="C457" s="191"/>
      <c r="D457" s="183" t="s">
        <v>6</v>
      </c>
      <c r="E457" s="191"/>
      <c r="F457" s="184"/>
      <c r="G457" s="184"/>
      <c r="H457" s="187"/>
      <c r="I457" s="187">
        <f>(H455+H456)/2</f>
        <v>100</v>
      </c>
      <c r="J457" s="182"/>
      <c r="K457" s="183" t="s">
        <v>6</v>
      </c>
      <c r="L457" s="184"/>
      <c r="M457" s="188"/>
      <c r="N457" s="188"/>
      <c r="O457" s="187"/>
      <c r="P457" s="187">
        <f>O455</f>
        <v>99.519230769230774</v>
      </c>
      <c r="Q457" s="187">
        <f>(I457+P457)/2</f>
        <v>99.759615384615387</v>
      </c>
      <c r="R457" s="191" t="s">
        <v>361</v>
      </c>
      <c r="S457" s="579"/>
      <c r="T457" s="330"/>
    </row>
    <row r="458" spans="1:20" s="212" customFormat="1" ht="46.5" customHeight="1" x14ac:dyDescent="0.35">
      <c r="A458" s="576"/>
      <c r="B458" s="600"/>
      <c r="C458" s="502" t="s">
        <v>164</v>
      </c>
      <c r="D458" s="146" t="s">
        <v>211</v>
      </c>
      <c r="E458" s="114"/>
      <c r="F458" s="114"/>
      <c r="G458" s="114"/>
      <c r="H458" s="113"/>
      <c r="I458" s="113"/>
      <c r="J458" s="502" t="s">
        <v>164</v>
      </c>
      <c r="K458" s="146" t="str">
        <f>D458</f>
        <v>Реализация дополнительных общеразвивающих программ</v>
      </c>
      <c r="L458" s="114"/>
      <c r="M458" s="119"/>
      <c r="N458" s="119"/>
      <c r="O458" s="113"/>
      <c r="P458" s="127"/>
      <c r="Q458" s="113"/>
      <c r="R458" s="114"/>
      <c r="S458" s="579"/>
      <c r="T458" s="211"/>
    </row>
    <row r="459" spans="1:20" s="212" customFormat="1" ht="49.5" customHeight="1" x14ac:dyDescent="0.35">
      <c r="A459" s="576"/>
      <c r="B459" s="600"/>
      <c r="C459" s="114" t="s">
        <v>165</v>
      </c>
      <c r="D459" s="116" t="s">
        <v>138</v>
      </c>
      <c r="E459" s="114" t="s">
        <v>25</v>
      </c>
      <c r="F459" s="114">
        <v>90</v>
      </c>
      <c r="G459" s="114">
        <v>90</v>
      </c>
      <c r="H459" s="509">
        <f>IF(G459/F459*100&gt;100,100,G459/F459*100)</f>
        <v>100</v>
      </c>
      <c r="I459" s="114"/>
      <c r="J459" s="118" t="s">
        <v>165</v>
      </c>
      <c r="K459" s="116" t="s">
        <v>469</v>
      </c>
      <c r="L459" s="114" t="s">
        <v>338</v>
      </c>
      <c r="M459" s="114">
        <v>51408</v>
      </c>
      <c r="N459" s="114">
        <v>49010</v>
      </c>
      <c r="O459" s="115">
        <f>IF(N459/M459*100&gt;110,110,N459/M459*100)</f>
        <v>95.335356364768131</v>
      </c>
      <c r="P459" s="127"/>
      <c r="Q459" s="113"/>
      <c r="R459" s="114"/>
      <c r="S459" s="579"/>
      <c r="T459" s="211"/>
    </row>
    <row r="460" spans="1:20" s="331" customFormat="1" ht="43.5" customHeight="1" x14ac:dyDescent="0.35">
      <c r="A460" s="576"/>
      <c r="B460" s="600"/>
      <c r="C460" s="191"/>
      <c r="D460" s="183" t="s">
        <v>6</v>
      </c>
      <c r="E460" s="191"/>
      <c r="F460" s="184"/>
      <c r="G460" s="184"/>
      <c r="H460" s="187"/>
      <c r="I460" s="187">
        <f>H459</f>
        <v>100</v>
      </c>
      <c r="J460" s="182"/>
      <c r="K460" s="183" t="s">
        <v>6</v>
      </c>
      <c r="L460" s="184"/>
      <c r="M460" s="188"/>
      <c r="N460" s="188"/>
      <c r="O460" s="187"/>
      <c r="P460" s="187">
        <f>O459</f>
        <v>95.335356364768131</v>
      </c>
      <c r="Q460" s="187">
        <f>(I460+P460)/2</f>
        <v>97.667678182384066</v>
      </c>
      <c r="R460" s="191" t="s">
        <v>361</v>
      </c>
      <c r="S460" s="579"/>
      <c r="T460" s="330"/>
    </row>
    <row r="461" spans="1:20" s="212" customFormat="1" ht="77.25" customHeight="1" x14ac:dyDescent="0.35">
      <c r="A461" s="576">
        <v>41</v>
      </c>
      <c r="B461" s="600" t="s">
        <v>141</v>
      </c>
      <c r="C461" s="502" t="s">
        <v>12</v>
      </c>
      <c r="D461" s="146" t="s">
        <v>128</v>
      </c>
      <c r="E461" s="502"/>
      <c r="F461" s="502"/>
      <c r="G461" s="502"/>
      <c r="H461" s="113"/>
      <c r="I461" s="113"/>
      <c r="J461" s="502" t="s">
        <v>12</v>
      </c>
      <c r="K461" s="146" t="s">
        <v>128</v>
      </c>
      <c r="L461" s="114"/>
      <c r="M461" s="114"/>
      <c r="N461" s="114"/>
      <c r="O461" s="113"/>
      <c r="P461" s="127"/>
      <c r="Q461" s="145"/>
      <c r="R461" s="114"/>
      <c r="S461" s="579" t="s">
        <v>280</v>
      </c>
      <c r="T461" s="211"/>
    </row>
    <row r="462" spans="1:20" s="212" customFormat="1" ht="58.5" customHeight="1" x14ac:dyDescent="0.35">
      <c r="A462" s="576"/>
      <c r="B462" s="600"/>
      <c r="C462" s="114" t="s">
        <v>7</v>
      </c>
      <c r="D462" s="116" t="s">
        <v>129</v>
      </c>
      <c r="E462" s="114" t="s">
        <v>25</v>
      </c>
      <c r="F462" s="114">
        <v>100</v>
      </c>
      <c r="G462" s="114">
        <v>100</v>
      </c>
      <c r="H462" s="509">
        <f t="shared" ref="H462:H466" si="15">IF(G462/F462*100&gt;100,100,G462/F462*100)</f>
        <v>100</v>
      </c>
      <c r="I462" s="114"/>
      <c r="J462" s="114" t="s">
        <v>7</v>
      </c>
      <c r="K462" s="116" t="s">
        <v>89</v>
      </c>
      <c r="L462" s="114" t="s">
        <v>38</v>
      </c>
      <c r="M462" s="114">
        <v>436</v>
      </c>
      <c r="N462" s="114">
        <v>434</v>
      </c>
      <c r="O462" s="115">
        <f>IF(N462/M462*100&gt;110,110,N462/M462*100)</f>
        <v>99.541284403669721</v>
      </c>
      <c r="P462" s="127"/>
      <c r="Q462" s="113"/>
      <c r="R462" s="114"/>
      <c r="S462" s="579"/>
      <c r="T462" s="211"/>
    </row>
    <row r="463" spans="1:20" s="212" customFormat="1" ht="47.25" customHeight="1" x14ac:dyDescent="0.35">
      <c r="A463" s="576"/>
      <c r="B463" s="600"/>
      <c r="C463" s="114" t="s">
        <v>8</v>
      </c>
      <c r="D463" s="116" t="s">
        <v>561</v>
      </c>
      <c r="E463" s="114" t="s">
        <v>25</v>
      </c>
      <c r="F463" s="114">
        <v>100</v>
      </c>
      <c r="G463" s="114">
        <v>100</v>
      </c>
      <c r="H463" s="509">
        <f t="shared" si="15"/>
        <v>100</v>
      </c>
      <c r="I463" s="114"/>
      <c r="J463" s="114"/>
      <c r="K463" s="503"/>
      <c r="L463" s="114"/>
      <c r="M463" s="117"/>
      <c r="N463" s="117"/>
      <c r="O463" s="115"/>
      <c r="P463" s="127"/>
      <c r="Q463" s="113"/>
      <c r="R463" s="114"/>
      <c r="S463" s="579"/>
      <c r="T463" s="211"/>
    </row>
    <row r="464" spans="1:20" s="212" customFormat="1" ht="53.25" customHeight="1" x14ac:dyDescent="0.35">
      <c r="A464" s="576"/>
      <c r="B464" s="600"/>
      <c r="C464" s="114" t="s">
        <v>9</v>
      </c>
      <c r="D464" s="116" t="s">
        <v>468</v>
      </c>
      <c r="E464" s="114" t="s">
        <v>25</v>
      </c>
      <c r="F464" s="114">
        <v>100</v>
      </c>
      <c r="G464" s="114">
        <v>100</v>
      </c>
      <c r="H464" s="509">
        <f t="shared" si="15"/>
        <v>100</v>
      </c>
      <c r="I464" s="114"/>
      <c r="J464" s="118"/>
      <c r="K464" s="116"/>
      <c r="L464" s="114"/>
      <c r="M464" s="119"/>
      <c r="N464" s="119"/>
      <c r="O464" s="115"/>
      <c r="P464" s="127"/>
      <c r="Q464" s="113"/>
      <c r="R464" s="114"/>
      <c r="S464" s="579"/>
      <c r="T464" s="211"/>
    </row>
    <row r="465" spans="1:20" s="212" customFormat="1" ht="66" customHeight="1" x14ac:dyDescent="0.35">
      <c r="A465" s="576"/>
      <c r="B465" s="600"/>
      <c r="C465" s="114" t="s">
        <v>10</v>
      </c>
      <c r="D465" s="116" t="s">
        <v>88</v>
      </c>
      <c r="E465" s="114" t="s">
        <v>25</v>
      </c>
      <c r="F465" s="114">
        <v>90</v>
      </c>
      <c r="G465" s="114">
        <v>100</v>
      </c>
      <c r="H465" s="509">
        <f t="shared" si="15"/>
        <v>100</v>
      </c>
      <c r="I465" s="114"/>
      <c r="J465" s="118"/>
      <c r="K465" s="116"/>
      <c r="L465" s="114"/>
      <c r="M465" s="119"/>
      <c r="N465" s="119"/>
      <c r="O465" s="115"/>
      <c r="P465" s="127"/>
      <c r="Q465" s="113"/>
      <c r="R465" s="114"/>
      <c r="S465" s="579"/>
      <c r="T465" s="211"/>
    </row>
    <row r="466" spans="1:20" s="212" customFormat="1" ht="117.75" customHeight="1" x14ac:dyDescent="0.35">
      <c r="A466" s="576"/>
      <c r="B466" s="600"/>
      <c r="C466" s="114" t="s">
        <v>35</v>
      </c>
      <c r="D466" s="116" t="s">
        <v>130</v>
      </c>
      <c r="E466" s="114" t="s">
        <v>25</v>
      </c>
      <c r="F466" s="114">
        <v>100</v>
      </c>
      <c r="G466" s="114">
        <v>100</v>
      </c>
      <c r="H466" s="509">
        <f t="shared" si="15"/>
        <v>100</v>
      </c>
      <c r="I466" s="114"/>
      <c r="J466" s="118"/>
      <c r="K466" s="116"/>
      <c r="L466" s="114"/>
      <c r="M466" s="119"/>
      <c r="N466" s="119"/>
      <c r="O466" s="115"/>
      <c r="P466" s="127"/>
      <c r="Q466" s="113"/>
      <c r="R466" s="114"/>
      <c r="S466" s="579"/>
      <c r="T466" s="211"/>
    </row>
    <row r="467" spans="1:20" s="124" customFormat="1" ht="40.5" customHeight="1" x14ac:dyDescent="0.35">
      <c r="A467" s="576"/>
      <c r="B467" s="600"/>
      <c r="C467" s="191"/>
      <c r="D467" s="183" t="s">
        <v>6</v>
      </c>
      <c r="E467" s="191"/>
      <c r="F467" s="184"/>
      <c r="G467" s="184"/>
      <c r="H467" s="187"/>
      <c r="I467" s="187">
        <f>(H462+H463+H464+H465+H466)/5</f>
        <v>100</v>
      </c>
      <c r="J467" s="182"/>
      <c r="K467" s="183" t="s">
        <v>6</v>
      </c>
      <c r="L467" s="184"/>
      <c r="M467" s="188"/>
      <c r="N467" s="188"/>
      <c r="O467" s="187"/>
      <c r="P467" s="187">
        <f>O462</f>
        <v>99.541284403669721</v>
      </c>
      <c r="Q467" s="187">
        <f>(I467+P467)/2</f>
        <v>99.77064220183486</v>
      </c>
      <c r="R467" s="191" t="s">
        <v>361</v>
      </c>
      <c r="S467" s="579"/>
      <c r="T467" s="123"/>
    </row>
    <row r="468" spans="1:20" s="212" customFormat="1" ht="72" customHeight="1" x14ac:dyDescent="0.35">
      <c r="A468" s="576"/>
      <c r="B468" s="600"/>
      <c r="C468" s="502" t="s">
        <v>13</v>
      </c>
      <c r="D468" s="146" t="s">
        <v>131</v>
      </c>
      <c r="E468" s="114"/>
      <c r="F468" s="114"/>
      <c r="G468" s="114"/>
      <c r="H468" s="113"/>
      <c r="I468" s="113"/>
      <c r="J468" s="502" t="s">
        <v>13</v>
      </c>
      <c r="K468" s="146" t="s">
        <v>131</v>
      </c>
      <c r="L468" s="114"/>
      <c r="M468" s="119"/>
      <c r="N468" s="119"/>
      <c r="O468" s="113"/>
      <c r="P468" s="127"/>
      <c r="Q468" s="113"/>
      <c r="R468" s="114"/>
      <c r="S468" s="579"/>
      <c r="T468" s="211"/>
    </row>
    <row r="469" spans="1:20" s="212" customFormat="1" ht="72" customHeight="1" x14ac:dyDescent="0.35">
      <c r="A469" s="576"/>
      <c r="B469" s="600"/>
      <c r="C469" s="114" t="s">
        <v>14</v>
      </c>
      <c r="D469" s="116" t="s">
        <v>132</v>
      </c>
      <c r="E469" s="114" t="s">
        <v>25</v>
      </c>
      <c r="F469" s="114">
        <v>100</v>
      </c>
      <c r="G469" s="114">
        <v>100</v>
      </c>
      <c r="H469" s="509">
        <f t="shared" ref="H469:H473" si="16">IF(G469/F469*100&gt;100,100,G469/F469*100)</f>
        <v>100</v>
      </c>
      <c r="I469" s="114"/>
      <c r="J469" s="118" t="s">
        <v>14</v>
      </c>
      <c r="K469" s="116" t="s">
        <v>89</v>
      </c>
      <c r="L469" s="114" t="s">
        <v>38</v>
      </c>
      <c r="M469" s="114">
        <v>486</v>
      </c>
      <c r="N469" s="114">
        <v>470</v>
      </c>
      <c r="O469" s="115">
        <f>IF(N469/M469*100&gt;110,110,N469/M469*100)</f>
        <v>96.707818930041157</v>
      </c>
      <c r="P469" s="114"/>
      <c r="Q469" s="113"/>
      <c r="R469" s="114"/>
      <c r="S469" s="579"/>
      <c r="T469" s="211"/>
    </row>
    <row r="470" spans="1:20" s="212" customFormat="1" ht="33.75" customHeight="1" x14ac:dyDescent="0.35">
      <c r="A470" s="576"/>
      <c r="B470" s="600"/>
      <c r="C470" s="114" t="s">
        <v>15</v>
      </c>
      <c r="D470" s="116" t="s">
        <v>559</v>
      </c>
      <c r="E470" s="114" t="s">
        <v>25</v>
      </c>
      <c r="F470" s="114">
        <v>100</v>
      </c>
      <c r="G470" s="114">
        <v>100</v>
      </c>
      <c r="H470" s="509">
        <f t="shared" si="16"/>
        <v>100</v>
      </c>
      <c r="I470" s="114"/>
      <c r="J470" s="118"/>
      <c r="K470" s="116"/>
      <c r="L470" s="114"/>
      <c r="M470" s="119"/>
      <c r="N470" s="119"/>
      <c r="O470" s="115"/>
      <c r="P470" s="127"/>
      <c r="Q470" s="113"/>
      <c r="R470" s="114"/>
      <c r="S470" s="579"/>
      <c r="T470" s="211"/>
    </row>
    <row r="471" spans="1:20" s="212" customFormat="1" ht="43.5" customHeight="1" x14ac:dyDescent="0.35">
      <c r="A471" s="576"/>
      <c r="B471" s="600"/>
      <c r="C471" s="114" t="s">
        <v>39</v>
      </c>
      <c r="D471" s="116" t="s">
        <v>468</v>
      </c>
      <c r="E471" s="114" t="s">
        <v>25</v>
      </c>
      <c r="F471" s="114">
        <v>100</v>
      </c>
      <c r="G471" s="114">
        <v>100</v>
      </c>
      <c r="H471" s="509">
        <f t="shared" si="16"/>
        <v>100</v>
      </c>
      <c r="I471" s="114"/>
      <c r="J471" s="118"/>
      <c r="K471" s="116"/>
      <c r="L471" s="114"/>
      <c r="M471" s="119"/>
      <c r="N471" s="119"/>
      <c r="O471" s="115"/>
      <c r="P471" s="127"/>
      <c r="Q471" s="113"/>
      <c r="R471" s="114"/>
      <c r="S471" s="579"/>
      <c r="T471" s="211"/>
    </row>
    <row r="472" spans="1:20" s="212" customFormat="1" ht="53.25" customHeight="1" x14ac:dyDescent="0.35">
      <c r="A472" s="576"/>
      <c r="B472" s="600"/>
      <c r="C472" s="114" t="s">
        <v>45</v>
      </c>
      <c r="D472" s="116" t="s">
        <v>88</v>
      </c>
      <c r="E472" s="114" t="s">
        <v>25</v>
      </c>
      <c r="F472" s="114">
        <v>90</v>
      </c>
      <c r="G472" s="114">
        <v>100</v>
      </c>
      <c r="H472" s="509">
        <f t="shared" si="16"/>
        <v>100</v>
      </c>
      <c r="I472" s="114"/>
      <c r="J472" s="118"/>
      <c r="K472" s="116"/>
      <c r="L472" s="114"/>
      <c r="M472" s="119"/>
      <c r="N472" s="119"/>
      <c r="O472" s="115"/>
      <c r="P472" s="127"/>
      <c r="Q472" s="113"/>
      <c r="R472" s="114"/>
      <c r="S472" s="579"/>
      <c r="T472" s="211"/>
    </row>
    <row r="473" spans="1:20" s="212" customFormat="1" ht="139.5" customHeight="1" x14ac:dyDescent="0.35">
      <c r="A473" s="576"/>
      <c r="B473" s="600"/>
      <c r="C473" s="114" t="s">
        <v>66</v>
      </c>
      <c r="D473" s="116" t="s">
        <v>130</v>
      </c>
      <c r="E473" s="114" t="s">
        <v>25</v>
      </c>
      <c r="F473" s="114">
        <v>100</v>
      </c>
      <c r="G473" s="114">
        <v>100</v>
      </c>
      <c r="H473" s="509">
        <f t="shared" si="16"/>
        <v>100</v>
      </c>
      <c r="I473" s="114"/>
      <c r="J473" s="118"/>
      <c r="K473" s="116"/>
      <c r="L473" s="114"/>
      <c r="M473" s="119"/>
      <c r="N473" s="119"/>
      <c r="O473" s="115"/>
      <c r="P473" s="127"/>
      <c r="Q473" s="113"/>
      <c r="R473" s="114"/>
      <c r="S473" s="579"/>
      <c r="T473" s="211"/>
    </row>
    <row r="474" spans="1:20" s="124" customFormat="1" ht="40.5" customHeight="1" x14ac:dyDescent="0.35">
      <c r="A474" s="576"/>
      <c r="B474" s="600"/>
      <c r="C474" s="191"/>
      <c r="D474" s="183" t="s">
        <v>6</v>
      </c>
      <c r="E474" s="191"/>
      <c r="F474" s="184"/>
      <c r="G474" s="184"/>
      <c r="H474" s="187"/>
      <c r="I474" s="187">
        <f>(H469+H470+H471+H472+H473)/5</f>
        <v>100</v>
      </c>
      <c r="J474" s="182"/>
      <c r="K474" s="183" t="s">
        <v>6</v>
      </c>
      <c r="L474" s="184"/>
      <c r="M474" s="188"/>
      <c r="N474" s="188"/>
      <c r="O474" s="187"/>
      <c r="P474" s="187">
        <f>O469</f>
        <v>96.707818930041157</v>
      </c>
      <c r="Q474" s="187">
        <f>(I474+P474)/2</f>
        <v>98.353909465020578</v>
      </c>
      <c r="R474" s="191" t="s">
        <v>361</v>
      </c>
      <c r="S474" s="579"/>
      <c r="T474" s="123"/>
    </row>
    <row r="475" spans="1:20" s="212" customFormat="1" ht="84" customHeight="1" x14ac:dyDescent="0.35">
      <c r="A475" s="576"/>
      <c r="B475" s="600"/>
      <c r="C475" s="502" t="s">
        <v>28</v>
      </c>
      <c r="D475" s="146" t="s">
        <v>133</v>
      </c>
      <c r="E475" s="114"/>
      <c r="F475" s="114"/>
      <c r="G475" s="114"/>
      <c r="H475" s="113"/>
      <c r="I475" s="113"/>
      <c r="J475" s="502" t="s">
        <v>28</v>
      </c>
      <c r="K475" s="146" t="str">
        <f>D475</f>
        <v>Реализация основных общеобразовательных программ среднего общего образования</v>
      </c>
      <c r="L475" s="114"/>
      <c r="M475" s="119"/>
      <c r="N475" s="119"/>
      <c r="O475" s="113"/>
      <c r="P475" s="127"/>
      <c r="Q475" s="113"/>
      <c r="R475" s="114"/>
      <c r="S475" s="579"/>
      <c r="T475" s="211"/>
    </row>
    <row r="476" spans="1:20" s="212" customFormat="1" ht="65.25" customHeight="1" x14ac:dyDescent="0.35">
      <c r="A476" s="576"/>
      <c r="B476" s="600"/>
      <c r="C476" s="114" t="s">
        <v>29</v>
      </c>
      <c r="D476" s="116" t="s">
        <v>134</v>
      </c>
      <c r="E476" s="114" t="s">
        <v>25</v>
      </c>
      <c r="F476" s="114">
        <v>100</v>
      </c>
      <c r="G476" s="114">
        <v>100</v>
      </c>
      <c r="H476" s="509">
        <f t="shared" ref="H476:H480" si="17">IF(G476/F476*100&gt;100,100,G476/F476*100)</f>
        <v>100</v>
      </c>
      <c r="I476" s="114"/>
      <c r="J476" s="118" t="s">
        <v>29</v>
      </c>
      <c r="K476" s="116" t="s">
        <v>89</v>
      </c>
      <c r="L476" s="114" t="s">
        <v>38</v>
      </c>
      <c r="M476" s="114">
        <v>91</v>
      </c>
      <c r="N476" s="114">
        <v>92</v>
      </c>
      <c r="O476" s="115">
        <f>IF(N476/M476*100&gt;110,110,N476/M476*100)</f>
        <v>101.09890109890109</v>
      </c>
      <c r="P476" s="114"/>
      <c r="Q476" s="113"/>
      <c r="R476" s="114"/>
      <c r="S476" s="579"/>
      <c r="T476" s="211"/>
    </row>
    <row r="477" spans="1:20" s="212" customFormat="1" ht="39.75" customHeight="1" x14ac:dyDescent="0.35">
      <c r="A477" s="576"/>
      <c r="B477" s="600"/>
      <c r="C477" s="114" t="s">
        <v>30</v>
      </c>
      <c r="D477" s="116" t="s">
        <v>560</v>
      </c>
      <c r="E477" s="114" t="s">
        <v>25</v>
      </c>
      <c r="F477" s="114">
        <v>100</v>
      </c>
      <c r="G477" s="114">
        <v>100</v>
      </c>
      <c r="H477" s="509">
        <f t="shared" si="17"/>
        <v>100</v>
      </c>
      <c r="I477" s="114"/>
      <c r="J477" s="118"/>
      <c r="K477" s="116"/>
      <c r="L477" s="114"/>
      <c r="M477" s="119"/>
      <c r="N477" s="119"/>
      <c r="O477" s="115"/>
      <c r="P477" s="127"/>
      <c r="Q477" s="113"/>
      <c r="R477" s="114"/>
      <c r="S477" s="579"/>
      <c r="T477" s="211"/>
    </row>
    <row r="478" spans="1:20" s="212" customFormat="1" ht="39.75" customHeight="1" x14ac:dyDescent="0.35">
      <c r="A478" s="576"/>
      <c r="B478" s="600"/>
      <c r="C478" s="114" t="s">
        <v>52</v>
      </c>
      <c r="D478" s="116" t="s">
        <v>468</v>
      </c>
      <c r="E478" s="114" t="s">
        <v>25</v>
      </c>
      <c r="F478" s="114">
        <v>100</v>
      </c>
      <c r="G478" s="114">
        <v>100</v>
      </c>
      <c r="H478" s="509">
        <f t="shared" si="17"/>
        <v>100</v>
      </c>
      <c r="I478" s="114"/>
      <c r="J478" s="118"/>
      <c r="K478" s="116"/>
      <c r="L478" s="114"/>
      <c r="M478" s="119"/>
      <c r="N478" s="119"/>
      <c r="O478" s="115"/>
      <c r="P478" s="127"/>
      <c r="Q478" s="113"/>
      <c r="R478" s="114"/>
      <c r="S478" s="579"/>
      <c r="T478" s="211"/>
    </row>
    <row r="479" spans="1:20" s="212" customFormat="1" ht="78" customHeight="1" x14ac:dyDescent="0.35">
      <c r="A479" s="576"/>
      <c r="B479" s="600"/>
      <c r="C479" s="114" t="s">
        <v>53</v>
      </c>
      <c r="D479" s="116" t="s">
        <v>88</v>
      </c>
      <c r="E479" s="114" t="s">
        <v>25</v>
      </c>
      <c r="F479" s="114">
        <v>90</v>
      </c>
      <c r="G479" s="114">
        <v>100</v>
      </c>
      <c r="H479" s="509">
        <f t="shared" si="17"/>
        <v>100</v>
      </c>
      <c r="I479" s="114"/>
      <c r="J479" s="118"/>
      <c r="K479" s="116"/>
      <c r="L479" s="114"/>
      <c r="M479" s="119"/>
      <c r="N479" s="119"/>
      <c r="O479" s="115"/>
      <c r="P479" s="127"/>
      <c r="Q479" s="113"/>
      <c r="R479" s="114"/>
      <c r="S479" s="579"/>
      <c r="T479" s="211"/>
    </row>
    <row r="480" spans="1:20" s="212" customFormat="1" ht="133.5" customHeight="1" x14ac:dyDescent="0.35">
      <c r="A480" s="576"/>
      <c r="B480" s="600"/>
      <c r="C480" s="114" t="s">
        <v>135</v>
      </c>
      <c r="D480" s="116" t="s">
        <v>130</v>
      </c>
      <c r="E480" s="114" t="s">
        <v>25</v>
      </c>
      <c r="F480" s="114">
        <v>100</v>
      </c>
      <c r="G480" s="114">
        <v>100</v>
      </c>
      <c r="H480" s="509">
        <f t="shared" si="17"/>
        <v>100</v>
      </c>
      <c r="I480" s="114"/>
      <c r="J480" s="118"/>
      <c r="K480" s="116"/>
      <c r="L480" s="114"/>
      <c r="M480" s="119"/>
      <c r="N480" s="119"/>
      <c r="O480" s="115"/>
      <c r="P480" s="127"/>
      <c r="Q480" s="113"/>
      <c r="R480" s="114"/>
      <c r="S480" s="579"/>
      <c r="T480" s="211"/>
    </row>
    <row r="481" spans="1:20" s="124" customFormat="1" ht="40.5" customHeight="1" x14ac:dyDescent="0.35">
      <c r="A481" s="576"/>
      <c r="B481" s="600"/>
      <c r="C481" s="191"/>
      <c r="D481" s="183" t="s">
        <v>6</v>
      </c>
      <c r="E481" s="191"/>
      <c r="F481" s="184"/>
      <c r="G481" s="184"/>
      <c r="H481" s="187"/>
      <c r="I481" s="187">
        <f>(H476+H477+H478+H479+H480)/5</f>
        <v>100</v>
      </c>
      <c r="J481" s="182"/>
      <c r="K481" s="183" t="s">
        <v>6</v>
      </c>
      <c r="L481" s="184"/>
      <c r="M481" s="188"/>
      <c r="N481" s="188"/>
      <c r="O481" s="187"/>
      <c r="P481" s="187">
        <f>O476</f>
        <v>101.09890109890109</v>
      </c>
      <c r="Q481" s="187">
        <f>(I481+P481)/2</f>
        <v>100.54945054945054</v>
      </c>
      <c r="R481" s="191" t="s">
        <v>31</v>
      </c>
      <c r="S481" s="579"/>
      <c r="T481" s="123"/>
    </row>
    <row r="482" spans="1:20" s="212" customFormat="1" ht="37.5" customHeight="1" x14ac:dyDescent="0.35">
      <c r="A482" s="576"/>
      <c r="B482" s="600"/>
      <c r="C482" s="502" t="s">
        <v>42</v>
      </c>
      <c r="D482" s="146" t="s">
        <v>90</v>
      </c>
      <c r="E482" s="114"/>
      <c r="F482" s="114"/>
      <c r="G482" s="114"/>
      <c r="H482" s="113"/>
      <c r="I482" s="113"/>
      <c r="J482" s="502" t="s">
        <v>42</v>
      </c>
      <c r="K482" s="146" t="s">
        <v>90</v>
      </c>
      <c r="L482" s="114"/>
      <c r="M482" s="119"/>
      <c r="N482" s="119"/>
      <c r="O482" s="113"/>
      <c r="P482" s="127"/>
      <c r="Q482" s="113"/>
      <c r="R482" s="114"/>
      <c r="S482" s="579"/>
      <c r="T482" s="211"/>
    </row>
    <row r="483" spans="1:20" s="212" customFormat="1" ht="48.75" customHeight="1" x14ac:dyDescent="0.35">
      <c r="A483" s="576"/>
      <c r="B483" s="600"/>
      <c r="C483" s="114" t="s">
        <v>43</v>
      </c>
      <c r="D483" s="116" t="s">
        <v>136</v>
      </c>
      <c r="E483" s="114" t="s">
        <v>25</v>
      </c>
      <c r="F483" s="114">
        <v>100</v>
      </c>
      <c r="G483" s="114">
        <v>100</v>
      </c>
      <c r="H483" s="509">
        <f t="shared" ref="H483:H484" si="18">IF(G483/F483*100&gt;100,100,G483/F483*100)</f>
        <v>100</v>
      </c>
      <c r="I483" s="114"/>
      <c r="J483" s="118" t="s">
        <v>43</v>
      </c>
      <c r="K483" s="116" t="s">
        <v>89</v>
      </c>
      <c r="L483" s="114" t="s">
        <v>38</v>
      </c>
      <c r="M483" s="114">
        <v>287</v>
      </c>
      <c r="N483" s="114">
        <v>281</v>
      </c>
      <c r="O483" s="115">
        <f>IF(N483/M483*100&gt;110,110,N483/M483*100)</f>
        <v>97.909407665505228</v>
      </c>
      <c r="P483" s="127"/>
      <c r="Q483" s="113"/>
      <c r="R483" s="114"/>
      <c r="S483" s="579"/>
      <c r="T483" s="211"/>
    </row>
    <row r="484" spans="1:20" s="212" customFormat="1" ht="93.75" customHeight="1" x14ac:dyDescent="0.35">
      <c r="A484" s="576"/>
      <c r="B484" s="600"/>
      <c r="C484" s="114" t="s">
        <v>137</v>
      </c>
      <c r="D484" s="116" t="s">
        <v>138</v>
      </c>
      <c r="E484" s="114" t="s">
        <v>25</v>
      </c>
      <c r="F484" s="114">
        <v>90</v>
      </c>
      <c r="G484" s="114">
        <v>90</v>
      </c>
      <c r="H484" s="509">
        <f t="shared" si="18"/>
        <v>100</v>
      </c>
      <c r="I484" s="114"/>
      <c r="J484" s="118"/>
      <c r="K484" s="116"/>
      <c r="L484" s="114"/>
      <c r="M484" s="119"/>
      <c r="N484" s="119"/>
      <c r="O484" s="115"/>
      <c r="P484" s="127"/>
      <c r="Q484" s="113"/>
      <c r="R484" s="114"/>
      <c r="S484" s="579"/>
      <c r="T484" s="211"/>
    </row>
    <row r="485" spans="1:20" s="124" customFormat="1" ht="40.5" customHeight="1" x14ac:dyDescent="0.35">
      <c r="A485" s="576"/>
      <c r="B485" s="600"/>
      <c r="C485" s="191"/>
      <c r="D485" s="183" t="s">
        <v>6</v>
      </c>
      <c r="E485" s="191"/>
      <c r="F485" s="184"/>
      <c r="G485" s="184"/>
      <c r="H485" s="187"/>
      <c r="I485" s="187">
        <f>(H483+H484)/2</f>
        <v>100</v>
      </c>
      <c r="J485" s="182"/>
      <c r="K485" s="183" t="s">
        <v>6</v>
      </c>
      <c r="L485" s="184"/>
      <c r="M485" s="188"/>
      <c r="N485" s="188"/>
      <c r="O485" s="187"/>
      <c r="P485" s="187">
        <f>O483</f>
        <v>97.909407665505228</v>
      </c>
      <c r="Q485" s="187">
        <f>(I485+P485)/2</f>
        <v>98.954703832752614</v>
      </c>
      <c r="R485" s="191" t="s">
        <v>361</v>
      </c>
      <c r="S485" s="579"/>
      <c r="T485" s="123"/>
    </row>
    <row r="486" spans="1:20" s="212" customFormat="1" ht="57" customHeight="1" x14ac:dyDescent="0.35">
      <c r="A486" s="576"/>
      <c r="B486" s="600"/>
      <c r="C486" s="502" t="s">
        <v>164</v>
      </c>
      <c r="D486" s="146" t="s">
        <v>211</v>
      </c>
      <c r="E486" s="114"/>
      <c r="F486" s="114"/>
      <c r="G486" s="114"/>
      <c r="H486" s="113"/>
      <c r="I486" s="113"/>
      <c r="J486" s="502" t="str">
        <f>C486</f>
        <v>V</v>
      </c>
      <c r="K486" s="146" t="str">
        <f>D486</f>
        <v>Реализация дополнительных общеразвивающих программ</v>
      </c>
      <c r="L486" s="114"/>
      <c r="M486" s="119"/>
      <c r="N486" s="119"/>
      <c r="O486" s="113"/>
      <c r="P486" s="127"/>
      <c r="Q486" s="113"/>
      <c r="R486" s="114"/>
      <c r="S486" s="579"/>
      <c r="T486" s="211"/>
    </row>
    <row r="487" spans="1:20" s="212" customFormat="1" ht="49.5" customHeight="1" x14ac:dyDescent="0.35">
      <c r="A487" s="576"/>
      <c r="B487" s="600"/>
      <c r="C487" s="114" t="s">
        <v>165</v>
      </c>
      <c r="D487" s="116" t="s">
        <v>138</v>
      </c>
      <c r="E487" s="114" t="s">
        <v>25</v>
      </c>
      <c r="F487" s="114">
        <v>90</v>
      </c>
      <c r="G487" s="114">
        <v>90</v>
      </c>
      <c r="H487" s="509">
        <f>IF(G487/F487*100&gt;100,100,G487/F487*100)</f>
        <v>100</v>
      </c>
      <c r="I487" s="114"/>
      <c r="J487" s="118" t="str">
        <f>C487</f>
        <v>5.1.</v>
      </c>
      <c r="K487" s="116" t="s">
        <v>469</v>
      </c>
      <c r="L487" s="114" t="s">
        <v>339</v>
      </c>
      <c r="M487" s="114">
        <v>63344</v>
      </c>
      <c r="N487" s="114">
        <v>59552</v>
      </c>
      <c r="O487" s="115">
        <f>IF(N487/M487*100&gt;110,110,N487/M487*100)</f>
        <v>94.013639808032337</v>
      </c>
      <c r="P487" s="127"/>
      <c r="Q487" s="113"/>
      <c r="R487" s="114"/>
      <c r="S487" s="579"/>
      <c r="T487" s="211"/>
    </row>
    <row r="488" spans="1:20" s="124" customFormat="1" ht="40.5" customHeight="1" x14ac:dyDescent="0.35">
      <c r="A488" s="576"/>
      <c r="B488" s="600"/>
      <c r="C488" s="191"/>
      <c r="D488" s="183" t="s">
        <v>6</v>
      </c>
      <c r="E488" s="191"/>
      <c r="F488" s="184"/>
      <c r="G488" s="184"/>
      <c r="H488" s="187"/>
      <c r="I488" s="187">
        <f>H487</f>
        <v>100</v>
      </c>
      <c r="J488" s="182"/>
      <c r="K488" s="183" t="s">
        <v>6</v>
      </c>
      <c r="L488" s="184"/>
      <c r="M488" s="188"/>
      <c r="N488" s="188"/>
      <c r="O488" s="187"/>
      <c r="P488" s="187">
        <f>O487</f>
        <v>94.013639808032337</v>
      </c>
      <c r="Q488" s="187">
        <f>(I488+P488)/2</f>
        <v>97.006819904016169</v>
      </c>
      <c r="R488" s="191" t="s">
        <v>361</v>
      </c>
      <c r="S488" s="579"/>
      <c r="T488" s="123"/>
    </row>
    <row r="489" spans="1:20" s="212" customFormat="1" ht="76.5" customHeight="1" x14ac:dyDescent="0.35">
      <c r="A489" s="576"/>
      <c r="B489" s="600"/>
      <c r="C489" s="502" t="s">
        <v>170</v>
      </c>
      <c r="D489" s="146" t="s">
        <v>457</v>
      </c>
      <c r="E489" s="114"/>
      <c r="F489" s="114"/>
      <c r="G489" s="114"/>
      <c r="H489" s="113"/>
      <c r="I489" s="113"/>
      <c r="J489" s="502" t="str">
        <f>C489</f>
        <v>VI</v>
      </c>
      <c r="K489" s="146" t="str">
        <f>D489</f>
        <v>Психолого-медико-педагогическое обследование детей начальное общее образование</v>
      </c>
      <c r="L489" s="114"/>
      <c r="M489" s="119"/>
      <c r="N489" s="119"/>
      <c r="O489" s="113"/>
      <c r="P489" s="127"/>
      <c r="Q489" s="113"/>
      <c r="R489" s="114"/>
      <c r="S489" s="579"/>
      <c r="T489" s="211"/>
    </row>
    <row r="490" spans="1:20" s="212" customFormat="1" ht="49.5" customHeight="1" x14ac:dyDescent="0.35">
      <c r="A490" s="576"/>
      <c r="B490" s="600"/>
      <c r="C490" s="114" t="s">
        <v>171</v>
      </c>
      <c r="D490" s="116" t="s">
        <v>272</v>
      </c>
      <c r="E490" s="114" t="s">
        <v>25</v>
      </c>
      <c r="F490" s="114">
        <v>100</v>
      </c>
      <c r="G490" s="114">
        <v>100</v>
      </c>
      <c r="H490" s="509">
        <f>IF(G490/F490*100&gt;100,100,G490/F490*100)</f>
        <v>100</v>
      </c>
      <c r="I490" s="114"/>
      <c r="J490" s="118" t="str">
        <f>C490</f>
        <v>6.1.</v>
      </c>
      <c r="K490" s="116" t="s">
        <v>89</v>
      </c>
      <c r="L490" s="114" t="s">
        <v>38</v>
      </c>
      <c r="M490" s="114">
        <v>617</v>
      </c>
      <c r="N490" s="114">
        <v>622</v>
      </c>
      <c r="O490" s="115">
        <f>IF(N490/M490*100&gt;110,110,N490/M490*100)</f>
        <v>100.81037277147489</v>
      </c>
      <c r="P490" s="127"/>
      <c r="Q490" s="113"/>
      <c r="R490" s="114"/>
      <c r="S490" s="579"/>
      <c r="T490" s="211"/>
    </row>
    <row r="491" spans="1:20" s="124" customFormat="1" ht="49.5" customHeight="1" x14ac:dyDescent="0.35">
      <c r="A491" s="576"/>
      <c r="B491" s="600"/>
      <c r="C491" s="191"/>
      <c r="D491" s="183" t="s">
        <v>6</v>
      </c>
      <c r="E491" s="191"/>
      <c r="F491" s="184"/>
      <c r="G491" s="184"/>
      <c r="H491" s="187"/>
      <c r="I491" s="187">
        <f>H490</f>
        <v>100</v>
      </c>
      <c r="J491" s="182"/>
      <c r="K491" s="183" t="s">
        <v>6</v>
      </c>
      <c r="L491" s="184"/>
      <c r="M491" s="188"/>
      <c r="N491" s="188"/>
      <c r="O491" s="187"/>
      <c r="P491" s="187">
        <f>O490</f>
        <v>100.81037277147489</v>
      </c>
      <c r="Q491" s="187">
        <f>(I491+P491)/2</f>
        <v>100.40518638573744</v>
      </c>
      <c r="R491" s="191" t="s">
        <v>31</v>
      </c>
      <c r="S491" s="579"/>
      <c r="T491" s="123"/>
    </row>
    <row r="492" spans="1:20" s="212" customFormat="1" ht="76.5" customHeight="1" x14ac:dyDescent="0.35">
      <c r="A492" s="576"/>
      <c r="B492" s="600"/>
      <c r="C492" s="502" t="s">
        <v>207</v>
      </c>
      <c r="D492" s="146" t="s">
        <v>458</v>
      </c>
      <c r="E492" s="114"/>
      <c r="F492" s="114"/>
      <c r="G492" s="114"/>
      <c r="H492" s="113"/>
      <c r="I492" s="113"/>
      <c r="J492" s="502" t="str">
        <f>C492</f>
        <v>VII</v>
      </c>
      <c r="K492" s="146" t="str">
        <f>D492</f>
        <v xml:space="preserve">Психолого-медико-педагогическое обследование детей основное общее образование </v>
      </c>
      <c r="L492" s="114"/>
      <c r="M492" s="119"/>
      <c r="N492" s="119"/>
      <c r="O492" s="113"/>
      <c r="P492" s="127"/>
      <c r="Q492" s="113"/>
      <c r="R492" s="114"/>
      <c r="S492" s="579"/>
      <c r="T492" s="211"/>
    </row>
    <row r="493" spans="1:20" s="212" customFormat="1" ht="49.5" customHeight="1" x14ac:dyDescent="0.35">
      <c r="A493" s="576"/>
      <c r="B493" s="600"/>
      <c r="C493" s="114" t="s">
        <v>208</v>
      </c>
      <c r="D493" s="116" t="s">
        <v>272</v>
      </c>
      <c r="E493" s="114" t="s">
        <v>25</v>
      </c>
      <c r="F493" s="114">
        <v>100</v>
      </c>
      <c r="G493" s="114">
        <v>100</v>
      </c>
      <c r="H493" s="509">
        <f>IF(G493/F493*100&gt;100,100,G493/F493*100)</f>
        <v>100</v>
      </c>
      <c r="I493" s="114"/>
      <c r="J493" s="118" t="str">
        <f>C493</f>
        <v>7.1.</v>
      </c>
      <c r="K493" s="116" t="s">
        <v>89</v>
      </c>
      <c r="L493" s="114" t="s">
        <v>38</v>
      </c>
      <c r="M493" s="114">
        <v>227</v>
      </c>
      <c r="N493" s="114">
        <v>230</v>
      </c>
      <c r="O493" s="115">
        <f>IF(N493/M493*100&gt;110,110,N493/M493*100)</f>
        <v>101.32158590308372</v>
      </c>
      <c r="P493" s="127"/>
      <c r="Q493" s="113"/>
      <c r="R493" s="114"/>
      <c r="S493" s="579"/>
      <c r="T493" s="211"/>
    </row>
    <row r="494" spans="1:20" s="124" customFormat="1" ht="49.5" customHeight="1" x14ac:dyDescent="0.35">
      <c r="A494" s="576"/>
      <c r="B494" s="600"/>
      <c r="C494" s="191"/>
      <c r="D494" s="183" t="s">
        <v>6</v>
      </c>
      <c r="E494" s="191"/>
      <c r="F494" s="184"/>
      <c r="G494" s="184"/>
      <c r="H494" s="187"/>
      <c r="I494" s="187">
        <f>H493</f>
        <v>100</v>
      </c>
      <c r="J494" s="182"/>
      <c r="K494" s="183" t="s">
        <v>6</v>
      </c>
      <c r="L494" s="184"/>
      <c r="M494" s="188"/>
      <c r="N494" s="188"/>
      <c r="O494" s="187"/>
      <c r="P494" s="187">
        <f>O493</f>
        <v>101.32158590308372</v>
      </c>
      <c r="Q494" s="187">
        <f>(I494+P494)/2</f>
        <v>100.66079295154185</v>
      </c>
      <c r="R494" s="191" t="s">
        <v>31</v>
      </c>
      <c r="S494" s="579"/>
      <c r="T494" s="123"/>
    </row>
    <row r="495" spans="1:20" s="212" customFormat="1" ht="76.5" customHeight="1" x14ac:dyDescent="0.35">
      <c r="A495" s="576"/>
      <c r="B495" s="600"/>
      <c r="C495" s="502" t="s">
        <v>209</v>
      </c>
      <c r="D495" s="146" t="s">
        <v>459</v>
      </c>
      <c r="E495" s="114"/>
      <c r="F495" s="114"/>
      <c r="G495" s="114"/>
      <c r="H495" s="113"/>
      <c r="I495" s="113"/>
      <c r="J495" s="502" t="str">
        <f>C495</f>
        <v>VIII</v>
      </c>
      <c r="K495" s="146" t="str">
        <f>D495</f>
        <v xml:space="preserve">Психолого-медико-педагогическое обследование детей среднее общее образование </v>
      </c>
      <c r="L495" s="114"/>
      <c r="M495" s="119"/>
      <c r="N495" s="119"/>
      <c r="O495" s="113"/>
      <c r="P495" s="127"/>
      <c r="Q495" s="113"/>
      <c r="R495" s="114"/>
      <c r="S495" s="579"/>
      <c r="T495" s="211"/>
    </row>
    <row r="496" spans="1:20" s="212" customFormat="1" ht="49.5" customHeight="1" x14ac:dyDescent="0.35">
      <c r="A496" s="576"/>
      <c r="B496" s="600"/>
      <c r="C496" s="114" t="s">
        <v>210</v>
      </c>
      <c r="D496" s="116" t="s">
        <v>272</v>
      </c>
      <c r="E496" s="114" t="s">
        <v>25</v>
      </c>
      <c r="F496" s="114">
        <v>100</v>
      </c>
      <c r="G496" s="114">
        <v>100</v>
      </c>
      <c r="H496" s="509">
        <f>IF(G496/F496*100&gt;100,100,G496/F496*100)</f>
        <v>100</v>
      </c>
      <c r="I496" s="114"/>
      <c r="J496" s="118" t="str">
        <f>C496</f>
        <v>8.1.</v>
      </c>
      <c r="K496" s="116" t="s">
        <v>89</v>
      </c>
      <c r="L496" s="114" t="s">
        <v>38</v>
      </c>
      <c r="M496" s="114">
        <v>19</v>
      </c>
      <c r="N496" s="114">
        <v>19</v>
      </c>
      <c r="O496" s="115">
        <f>IF(N496/M496*100&gt;110,110,N496/M496*100)</f>
        <v>100</v>
      </c>
      <c r="P496" s="127"/>
      <c r="Q496" s="113"/>
      <c r="R496" s="114"/>
      <c r="S496" s="579"/>
      <c r="T496" s="211"/>
    </row>
    <row r="497" spans="1:20" s="124" customFormat="1" ht="49.5" customHeight="1" x14ac:dyDescent="0.35">
      <c r="A497" s="576"/>
      <c r="B497" s="600"/>
      <c r="C497" s="191"/>
      <c r="D497" s="183" t="s">
        <v>6</v>
      </c>
      <c r="E497" s="191"/>
      <c r="F497" s="184"/>
      <c r="G497" s="184"/>
      <c r="H497" s="187"/>
      <c r="I497" s="187">
        <f>H496</f>
        <v>100</v>
      </c>
      <c r="J497" s="182"/>
      <c r="K497" s="183" t="s">
        <v>6</v>
      </c>
      <c r="L497" s="184"/>
      <c r="M497" s="188"/>
      <c r="N497" s="188"/>
      <c r="O497" s="187"/>
      <c r="P497" s="187">
        <f>O496</f>
        <v>100</v>
      </c>
      <c r="Q497" s="187">
        <f>(I497+P497)/2</f>
        <v>100</v>
      </c>
      <c r="R497" s="191" t="s">
        <v>31</v>
      </c>
      <c r="S497" s="579"/>
      <c r="T497" s="123"/>
    </row>
    <row r="498" spans="1:20" s="212" customFormat="1" ht="76.5" customHeight="1" x14ac:dyDescent="0.35">
      <c r="A498" s="576"/>
      <c r="B498" s="600"/>
      <c r="C498" s="502" t="s">
        <v>357</v>
      </c>
      <c r="D498" s="146" t="s">
        <v>460</v>
      </c>
      <c r="E498" s="114"/>
      <c r="F498" s="114"/>
      <c r="G498" s="114"/>
      <c r="H498" s="113"/>
      <c r="I498" s="113"/>
      <c r="J498" s="502" t="str">
        <f>C498</f>
        <v>IX</v>
      </c>
      <c r="K498" s="146" t="str">
        <f>D498</f>
        <v>Психолого-медико-педагогическое обследование детей дошкольное общее образование</v>
      </c>
      <c r="L498" s="114"/>
      <c r="M498" s="119"/>
      <c r="N498" s="119"/>
      <c r="O498" s="113"/>
      <c r="P498" s="127"/>
      <c r="Q498" s="113"/>
      <c r="R498" s="114"/>
      <c r="S498" s="579"/>
      <c r="T498" s="211"/>
    </row>
    <row r="499" spans="1:20" s="212" customFormat="1" ht="49.5" customHeight="1" x14ac:dyDescent="0.35">
      <c r="A499" s="576"/>
      <c r="B499" s="600"/>
      <c r="C499" s="114" t="s">
        <v>358</v>
      </c>
      <c r="D499" s="116" t="s">
        <v>272</v>
      </c>
      <c r="E499" s="114" t="s">
        <v>25</v>
      </c>
      <c r="F499" s="114">
        <v>100</v>
      </c>
      <c r="G499" s="114">
        <v>100</v>
      </c>
      <c r="H499" s="509">
        <f>IF(G499/F499*100&gt;100,100,G499/F499*100)</f>
        <v>100</v>
      </c>
      <c r="I499" s="114"/>
      <c r="J499" s="118" t="str">
        <f>C499</f>
        <v>9.1.</v>
      </c>
      <c r="K499" s="116" t="s">
        <v>89</v>
      </c>
      <c r="L499" s="114" t="s">
        <v>38</v>
      </c>
      <c r="M499" s="114">
        <v>1014</v>
      </c>
      <c r="N499" s="114">
        <v>1059</v>
      </c>
      <c r="O499" s="115">
        <f>IF(N499/M499*100&gt;110,110,N499/M499*100)</f>
        <v>104.4378698224852</v>
      </c>
      <c r="P499" s="127"/>
      <c r="Q499" s="113"/>
      <c r="R499" s="114"/>
      <c r="S499" s="579"/>
      <c r="T499" s="211"/>
    </row>
    <row r="500" spans="1:20" s="124" customFormat="1" ht="49.5" customHeight="1" x14ac:dyDescent="0.35">
      <c r="A500" s="576"/>
      <c r="B500" s="600"/>
      <c r="C500" s="191"/>
      <c r="D500" s="183" t="s">
        <v>6</v>
      </c>
      <c r="E500" s="191"/>
      <c r="F500" s="184"/>
      <c r="G500" s="184"/>
      <c r="H500" s="187"/>
      <c r="I500" s="187">
        <f>H499</f>
        <v>100</v>
      </c>
      <c r="J500" s="182"/>
      <c r="K500" s="183" t="s">
        <v>6</v>
      </c>
      <c r="L500" s="184"/>
      <c r="M500" s="188"/>
      <c r="N500" s="188"/>
      <c r="O500" s="187"/>
      <c r="P500" s="187">
        <f>O499</f>
        <v>104.4378698224852</v>
      </c>
      <c r="Q500" s="187">
        <f>(I500+P500)/2</f>
        <v>102.2189349112426</v>
      </c>
      <c r="R500" s="191" t="s">
        <v>31</v>
      </c>
      <c r="S500" s="579"/>
      <c r="T500" s="123"/>
    </row>
    <row r="501" spans="1:20" s="212" customFormat="1" ht="62.25" customHeight="1" x14ac:dyDescent="0.35">
      <c r="A501" s="576">
        <v>42</v>
      </c>
      <c r="B501" s="600" t="s">
        <v>142</v>
      </c>
      <c r="C501" s="502" t="s">
        <v>12</v>
      </c>
      <c r="D501" s="146" t="s">
        <v>128</v>
      </c>
      <c r="E501" s="502"/>
      <c r="F501" s="502"/>
      <c r="G501" s="502"/>
      <c r="H501" s="113"/>
      <c r="I501" s="113"/>
      <c r="J501" s="502" t="s">
        <v>12</v>
      </c>
      <c r="K501" s="146" t="s">
        <v>128</v>
      </c>
      <c r="L501" s="114"/>
      <c r="M501" s="114"/>
      <c r="N501" s="114"/>
      <c r="O501" s="113"/>
      <c r="P501" s="127"/>
      <c r="Q501" s="113"/>
      <c r="R501" s="114"/>
      <c r="S501" s="579" t="s">
        <v>280</v>
      </c>
      <c r="T501" s="211"/>
    </row>
    <row r="502" spans="1:20" s="212" customFormat="1" ht="73.5" customHeight="1" x14ac:dyDescent="0.35">
      <c r="A502" s="576"/>
      <c r="B502" s="600"/>
      <c r="C502" s="114" t="s">
        <v>7</v>
      </c>
      <c r="D502" s="116" t="s">
        <v>129</v>
      </c>
      <c r="E502" s="114" t="s">
        <v>25</v>
      </c>
      <c r="F502" s="114">
        <v>100</v>
      </c>
      <c r="G502" s="114">
        <v>100</v>
      </c>
      <c r="H502" s="509">
        <f t="shared" ref="H502:H506" si="19">IF(G502/F502*100&gt;100,100,G502/F502*100)</f>
        <v>100</v>
      </c>
      <c r="I502" s="114"/>
      <c r="J502" s="114" t="s">
        <v>7</v>
      </c>
      <c r="K502" s="116" t="s">
        <v>89</v>
      </c>
      <c r="L502" s="114" t="s">
        <v>38</v>
      </c>
      <c r="M502" s="114">
        <v>340</v>
      </c>
      <c r="N502" s="114">
        <v>339</v>
      </c>
      <c r="O502" s="115">
        <f>IF(N502/M502*100&gt;110,110,N502/M502*100)</f>
        <v>99.705882352941174</v>
      </c>
      <c r="P502" s="127"/>
      <c r="Q502" s="113"/>
      <c r="R502" s="114"/>
      <c r="S502" s="579"/>
      <c r="T502" s="211"/>
    </row>
    <row r="503" spans="1:20" s="212" customFormat="1" ht="38.25" customHeight="1" x14ac:dyDescent="0.35">
      <c r="A503" s="576"/>
      <c r="B503" s="600"/>
      <c r="C503" s="114" t="s">
        <v>8</v>
      </c>
      <c r="D503" s="116" t="s">
        <v>561</v>
      </c>
      <c r="E503" s="114" t="s">
        <v>25</v>
      </c>
      <c r="F503" s="114">
        <v>100</v>
      </c>
      <c r="G503" s="114">
        <v>100</v>
      </c>
      <c r="H503" s="509">
        <f t="shared" si="19"/>
        <v>100</v>
      </c>
      <c r="I503" s="114"/>
      <c r="J503" s="114"/>
      <c r="K503" s="503"/>
      <c r="L503" s="114"/>
      <c r="M503" s="117"/>
      <c r="N503" s="117"/>
      <c r="O503" s="115"/>
      <c r="P503" s="127"/>
      <c r="Q503" s="113"/>
      <c r="R503" s="114"/>
      <c r="S503" s="579"/>
      <c r="T503" s="211"/>
    </row>
    <row r="504" spans="1:20" s="212" customFormat="1" ht="54" customHeight="1" x14ac:dyDescent="0.35">
      <c r="A504" s="576"/>
      <c r="B504" s="600"/>
      <c r="C504" s="114" t="s">
        <v>9</v>
      </c>
      <c r="D504" s="116" t="s">
        <v>468</v>
      </c>
      <c r="E504" s="114" t="s">
        <v>25</v>
      </c>
      <c r="F504" s="114">
        <v>100</v>
      </c>
      <c r="G504" s="114">
        <v>100</v>
      </c>
      <c r="H504" s="509">
        <f t="shared" si="19"/>
        <v>100</v>
      </c>
      <c r="I504" s="114"/>
      <c r="J504" s="118"/>
      <c r="K504" s="116"/>
      <c r="L504" s="114"/>
      <c r="M504" s="119"/>
      <c r="N504" s="119"/>
      <c r="O504" s="115"/>
      <c r="P504" s="127"/>
      <c r="Q504" s="113"/>
      <c r="R504" s="114"/>
      <c r="S504" s="579"/>
      <c r="T504" s="211"/>
    </row>
    <row r="505" spans="1:20" s="212" customFormat="1" ht="63.75" customHeight="1" x14ac:dyDescent="0.35">
      <c r="A505" s="576"/>
      <c r="B505" s="600"/>
      <c r="C505" s="114" t="s">
        <v>10</v>
      </c>
      <c r="D505" s="116" t="s">
        <v>88</v>
      </c>
      <c r="E505" s="114" t="s">
        <v>25</v>
      </c>
      <c r="F505" s="114">
        <v>90</v>
      </c>
      <c r="G505" s="114">
        <v>90</v>
      </c>
      <c r="H505" s="509">
        <f t="shared" si="19"/>
        <v>100</v>
      </c>
      <c r="I505" s="114"/>
      <c r="J505" s="118"/>
      <c r="K505" s="116"/>
      <c r="L505" s="114"/>
      <c r="M505" s="119"/>
      <c r="N505" s="119"/>
      <c r="O505" s="115"/>
      <c r="P505" s="127"/>
      <c r="Q505" s="113"/>
      <c r="R505" s="114"/>
      <c r="S505" s="579"/>
      <c r="T505" s="211"/>
    </row>
    <row r="506" spans="1:20" s="212" customFormat="1" ht="116.25" customHeight="1" x14ac:dyDescent="0.35">
      <c r="A506" s="576"/>
      <c r="B506" s="600"/>
      <c r="C506" s="114" t="s">
        <v>35</v>
      </c>
      <c r="D506" s="116" t="s">
        <v>130</v>
      </c>
      <c r="E506" s="114" t="s">
        <v>25</v>
      </c>
      <c r="F506" s="114">
        <v>100</v>
      </c>
      <c r="G506" s="114">
        <v>100</v>
      </c>
      <c r="H506" s="509">
        <f t="shared" si="19"/>
        <v>100</v>
      </c>
      <c r="I506" s="114"/>
      <c r="J506" s="118"/>
      <c r="K506" s="116"/>
      <c r="L506" s="114"/>
      <c r="M506" s="119"/>
      <c r="N506" s="119"/>
      <c r="O506" s="115"/>
      <c r="P506" s="127"/>
      <c r="Q506" s="113"/>
      <c r="R506" s="114"/>
      <c r="S506" s="579"/>
      <c r="T506" s="211"/>
    </row>
    <row r="507" spans="1:20" s="124" customFormat="1" ht="40.5" customHeight="1" x14ac:dyDescent="0.35">
      <c r="A507" s="576"/>
      <c r="B507" s="600"/>
      <c r="C507" s="191"/>
      <c r="D507" s="183" t="s">
        <v>6</v>
      </c>
      <c r="E507" s="191"/>
      <c r="F507" s="184"/>
      <c r="G507" s="184"/>
      <c r="H507" s="187"/>
      <c r="I507" s="187">
        <f>(H502+H503+H504+H505+H506)/5</f>
        <v>100</v>
      </c>
      <c r="J507" s="182"/>
      <c r="K507" s="183" t="s">
        <v>6</v>
      </c>
      <c r="L507" s="184"/>
      <c r="M507" s="188"/>
      <c r="N507" s="188"/>
      <c r="O507" s="187"/>
      <c r="P507" s="187">
        <f>O502</f>
        <v>99.705882352941174</v>
      </c>
      <c r="Q507" s="187">
        <f>(I507+P507)/2</f>
        <v>99.85294117647058</v>
      </c>
      <c r="R507" s="191" t="s">
        <v>361</v>
      </c>
      <c r="S507" s="579"/>
      <c r="T507" s="123"/>
    </row>
    <row r="508" spans="1:20" s="212" customFormat="1" ht="60.75" customHeight="1" x14ac:dyDescent="0.35">
      <c r="A508" s="576"/>
      <c r="B508" s="600"/>
      <c r="C508" s="502" t="s">
        <v>13</v>
      </c>
      <c r="D508" s="146" t="s">
        <v>131</v>
      </c>
      <c r="E508" s="114"/>
      <c r="F508" s="114"/>
      <c r="G508" s="114"/>
      <c r="H508" s="113"/>
      <c r="I508" s="113"/>
      <c r="J508" s="502" t="s">
        <v>13</v>
      </c>
      <c r="K508" s="146" t="s">
        <v>131</v>
      </c>
      <c r="L508" s="114"/>
      <c r="M508" s="119"/>
      <c r="N508" s="119"/>
      <c r="O508" s="113"/>
      <c r="P508" s="127"/>
      <c r="Q508" s="113"/>
      <c r="R508" s="114"/>
      <c r="S508" s="579"/>
      <c r="T508" s="211"/>
    </row>
    <row r="509" spans="1:20" s="212" customFormat="1" ht="67.5" customHeight="1" x14ac:dyDescent="0.35">
      <c r="A509" s="576"/>
      <c r="B509" s="600"/>
      <c r="C509" s="114" t="s">
        <v>14</v>
      </c>
      <c r="D509" s="116" t="s">
        <v>132</v>
      </c>
      <c r="E509" s="114" t="s">
        <v>25</v>
      </c>
      <c r="F509" s="114">
        <v>100</v>
      </c>
      <c r="G509" s="114">
        <v>100</v>
      </c>
      <c r="H509" s="509">
        <f t="shared" ref="H509:H512" si="20">IF(G509/F509*100&gt;100,100,G509/F509*100)</f>
        <v>100</v>
      </c>
      <c r="I509" s="114"/>
      <c r="J509" s="118" t="s">
        <v>14</v>
      </c>
      <c r="K509" s="116" t="s">
        <v>89</v>
      </c>
      <c r="L509" s="114" t="s">
        <v>38</v>
      </c>
      <c r="M509" s="114">
        <v>358</v>
      </c>
      <c r="N509" s="114">
        <v>359</v>
      </c>
      <c r="O509" s="115">
        <f>IF(N509/M509*100&gt;110,110,N509/M509*100)</f>
        <v>100.27932960893855</v>
      </c>
      <c r="P509" s="114"/>
      <c r="Q509" s="113"/>
      <c r="R509" s="114"/>
      <c r="S509" s="579"/>
      <c r="T509" s="211"/>
    </row>
    <row r="510" spans="1:20" s="212" customFormat="1" ht="42.75" customHeight="1" x14ac:dyDescent="0.35">
      <c r="A510" s="576"/>
      <c r="B510" s="600"/>
      <c r="C510" s="114" t="s">
        <v>15</v>
      </c>
      <c r="D510" s="116" t="s">
        <v>559</v>
      </c>
      <c r="E510" s="114" t="s">
        <v>25</v>
      </c>
      <c r="F510" s="114">
        <v>100</v>
      </c>
      <c r="G510" s="114">
        <v>100</v>
      </c>
      <c r="H510" s="509">
        <f t="shared" si="20"/>
        <v>100</v>
      </c>
      <c r="I510" s="114"/>
      <c r="J510" s="118"/>
      <c r="K510" s="116"/>
      <c r="L510" s="114"/>
      <c r="M510" s="119"/>
      <c r="N510" s="119"/>
      <c r="O510" s="115"/>
      <c r="P510" s="127"/>
      <c r="Q510" s="113"/>
      <c r="R510" s="114"/>
      <c r="S510" s="579"/>
      <c r="T510" s="211"/>
    </row>
    <row r="511" spans="1:20" s="212" customFormat="1" ht="51" customHeight="1" x14ac:dyDescent="0.35">
      <c r="A511" s="576"/>
      <c r="B511" s="600"/>
      <c r="C511" s="114" t="s">
        <v>39</v>
      </c>
      <c r="D511" s="116" t="s">
        <v>468</v>
      </c>
      <c r="E511" s="114" t="s">
        <v>25</v>
      </c>
      <c r="F511" s="114">
        <v>100</v>
      </c>
      <c r="G511" s="114">
        <v>100</v>
      </c>
      <c r="H511" s="509">
        <f t="shared" si="20"/>
        <v>100</v>
      </c>
      <c r="I511" s="114"/>
      <c r="J511" s="118"/>
      <c r="K511" s="116"/>
      <c r="L511" s="114"/>
      <c r="M511" s="119"/>
      <c r="N511" s="119"/>
      <c r="O511" s="115"/>
      <c r="P511" s="127"/>
      <c r="Q511" s="113"/>
      <c r="R511" s="114"/>
      <c r="S511" s="579"/>
      <c r="T511" s="211"/>
    </row>
    <row r="512" spans="1:20" s="212" customFormat="1" ht="77.25" customHeight="1" x14ac:dyDescent="0.35">
      <c r="A512" s="576"/>
      <c r="B512" s="600"/>
      <c r="C512" s="114" t="s">
        <v>45</v>
      </c>
      <c r="D512" s="116" t="s">
        <v>88</v>
      </c>
      <c r="E512" s="114" t="s">
        <v>25</v>
      </c>
      <c r="F512" s="114">
        <v>90</v>
      </c>
      <c r="G512" s="114">
        <v>90</v>
      </c>
      <c r="H512" s="509">
        <f t="shared" si="20"/>
        <v>100</v>
      </c>
      <c r="I512" s="114"/>
      <c r="J512" s="118"/>
      <c r="K512" s="116"/>
      <c r="L512" s="114"/>
      <c r="M512" s="119"/>
      <c r="N512" s="119"/>
      <c r="O512" s="115"/>
      <c r="P512" s="127"/>
      <c r="Q512" s="113"/>
      <c r="R512" s="114"/>
      <c r="S512" s="579"/>
      <c r="T512" s="211"/>
    </row>
    <row r="513" spans="1:20" s="212" customFormat="1" ht="121.5" customHeight="1" x14ac:dyDescent="0.35">
      <c r="A513" s="576"/>
      <c r="B513" s="600"/>
      <c r="C513" s="114" t="s">
        <v>66</v>
      </c>
      <c r="D513" s="116" t="s">
        <v>130</v>
      </c>
      <c r="E513" s="114" t="s">
        <v>25</v>
      </c>
      <c r="F513" s="114">
        <v>100</v>
      </c>
      <c r="G513" s="114">
        <v>100</v>
      </c>
      <c r="H513" s="509">
        <f>IF(G513/F513*100&gt;100,100,G513/F513*100)</f>
        <v>100</v>
      </c>
      <c r="I513" s="114"/>
      <c r="J513" s="118"/>
      <c r="K513" s="116"/>
      <c r="L513" s="114"/>
      <c r="M513" s="119"/>
      <c r="N513" s="119"/>
      <c r="O513" s="115"/>
      <c r="P513" s="127"/>
      <c r="Q513" s="113"/>
      <c r="R513" s="114"/>
      <c r="S513" s="579"/>
      <c r="T513" s="211"/>
    </row>
    <row r="514" spans="1:20" s="124" customFormat="1" ht="40.5" customHeight="1" x14ac:dyDescent="0.35">
      <c r="A514" s="576"/>
      <c r="B514" s="600"/>
      <c r="C514" s="191"/>
      <c r="D514" s="183" t="s">
        <v>6</v>
      </c>
      <c r="E514" s="191"/>
      <c r="F514" s="184"/>
      <c r="G514" s="184"/>
      <c r="H514" s="187"/>
      <c r="I514" s="187">
        <f>(H509+H510+H511+H512+H513)/5</f>
        <v>100</v>
      </c>
      <c r="J514" s="182"/>
      <c r="K514" s="183" t="s">
        <v>6</v>
      </c>
      <c r="L514" s="184"/>
      <c r="M514" s="188"/>
      <c r="N514" s="188"/>
      <c r="O514" s="187"/>
      <c r="P514" s="187">
        <f>O509</f>
        <v>100.27932960893855</v>
      </c>
      <c r="Q514" s="187">
        <f>(I514+P514)/2</f>
        <v>100.13966480446928</v>
      </c>
      <c r="R514" s="191" t="s">
        <v>31</v>
      </c>
      <c r="S514" s="579"/>
      <c r="T514" s="123"/>
    </row>
    <row r="515" spans="1:20" s="212" customFormat="1" ht="81" customHeight="1" x14ac:dyDescent="0.35">
      <c r="A515" s="576"/>
      <c r="B515" s="600"/>
      <c r="C515" s="502" t="s">
        <v>28</v>
      </c>
      <c r="D515" s="146" t="s">
        <v>133</v>
      </c>
      <c r="E515" s="114"/>
      <c r="F515" s="114"/>
      <c r="G515" s="114"/>
      <c r="H515" s="113"/>
      <c r="I515" s="113"/>
      <c r="J515" s="502" t="s">
        <v>28</v>
      </c>
      <c r="K515" s="146" t="str">
        <f>D515</f>
        <v>Реализация основных общеобразовательных программ среднего общего образования</v>
      </c>
      <c r="L515" s="114"/>
      <c r="M515" s="119"/>
      <c r="N515" s="119"/>
      <c r="O515" s="113"/>
      <c r="P515" s="127"/>
      <c r="Q515" s="113"/>
      <c r="R515" s="114"/>
      <c r="S515" s="579"/>
      <c r="T515" s="211"/>
    </row>
    <row r="516" spans="1:20" s="212" customFormat="1" ht="77.25" customHeight="1" x14ac:dyDescent="0.35">
      <c r="A516" s="576"/>
      <c r="B516" s="600"/>
      <c r="C516" s="114" t="s">
        <v>29</v>
      </c>
      <c r="D516" s="116" t="s">
        <v>134</v>
      </c>
      <c r="E516" s="114" t="s">
        <v>25</v>
      </c>
      <c r="F516" s="114">
        <v>100</v>
      </c>
      <c r="G516" s="114">
        <v>100</v>
      </c>
      <c r="H516" s="509">
        <f t="shared" ref="H516:H520" si="21">IF(G516/F516*100&gt;100,100,G516/F516*100)</f>
        <v>100</v>
      </c>
      <c r="I516" s="114"/>
      <c r="J516" s="118" t="s">
        <v>29</v>
      </c>
      <c r="K516" s="116" t="s">
        <v>89</v>
      </c>
      <c r="L516" s="114" t="s">
        <v>38</v>
      </c>
      <c r="M516" s="114">
        <v>76</v>
      </c>
      <c r="N516" s="114">
        <v>75</v>
      </c>
      <c r="O516" s="115">
        <f>IF(N516/M516*100&gt;110,110,N516/M516*100)</f>
        <v>98.68421052631578</v>
      </c>
      <c r="P516" s="114"/>
      <c r="Q516" s="113"/>
      <c r="R516" s="114"/>
      <c r="S516" s="579"/>
      <c r="T516" s="211"/>
    </row>
    <row r="517" spans="1:20" s="212" customFormat="1" ht="50.25" customHeight="1" x14ac:dyDescent="0.35">
      <c r="A517" s="576"/>
      <c r="B517" s="600"/>
      <c r="C517" s="114" t="s">
        <v>30</v>
      </c>
      <c r="D517" s="116" t="s">
        <v>560</v>
      </c>
      <c r="E517" s="114" t="s">
        <v>25</v>
      </c>
      <c r="F517" s="114">
        <v>100</v>
      </c>
      <c r="G517" s="114">
        <v>100</v>
      </c>
      <c r="H517" s="509">
        <f t="shared" si="21"/>
        <v>100</v>
      </c>
      <c r="I517" s="114"/>
      <c r="J517" s="118"/>
      <c r="K517" s="116"/>
      <c r="L517" s="114"/>
      <c r="M517" s="119"/>
      <c r="N517" s="119"/>
      <c r="O517" s="115"/>
      <c r="P517" s="127"/>
      <c r="Q517" s="113"/>
      <c r="R517" s="114"/>
      <c r="S517" s="579"/>
      <c r="T517" s="211"/>
    </row>
    <row r="518" spans="1:20" s="212" customFormat="1" ht="54.75" customHeight="1" x14ac:dyDescent="0.35">
      <c r="A518" s="576"/>
      <c r="B518" s="600"/>
      <c r="C518" s="114" t="s">
        <v>52</v>
      </c>
      <c r="D518" s="116" t="s">
        <v>468</v>
      </c>
      <c r="E518" s="114" t="s">
        <v>25</v>
      </c>
      <c r="F518" s="114">
        <v>100</v>
      </c>
      <c r="G518" s="114">
        <v>100</v>
      </c>
      <c r="H518" s="509">
        <f t="shared" si="21"/>
        <v>100</v>
      </c>
      <c r="I518" s="114"/>
      <c r="J518" s="118"/>
      <c r="K518" s="116"/>
      <c r="L518" s="114"/>
      <c r="M518" s="119"/>
      <c r="N518" s="119"/>
      <c r="O518" s="115"/>
      <c r="P518" s="127"/>
      <c r="Q518" s="113"/>
      <c r="R518" s="114"/>
      <c r="S518" s="579"/>
      <c r="T518" s="211"/>
    </row>
    <row r="519" spans="1:20" s="212" customFormat="1" ht="69" customHeight="1" x14ac:dyDescent="0.35">
      <c r="A519" s="576"/>
      <c r="B519" s="600"/>
      <c r="C519" s="114" t="s">
        <v>53</v>
      </c>
      <c r="D519" s="116" t="s">
        <v>88</v>
      </c>
      <c r="E519" s="114" t="s">
        <v>25</v>
      </c>
      <c r="F519" s="114">
        <v>90</v>
      </c>
      <c r="G519" s="114">
        <v>90</v>
      </c>
      <c r="H519" s="509">
        <f t="shared" si="21"/>
        <v>100</v>
      </c>
      <c r="I519" s="114"/>
      <c r="J519" s="118"/>
      <c r="K519" s="116"/>
      <c r="L519" s="114"/>
      <c r="M519" s="119"/>
      <c r="N519" s="119"/>
      <c r="O519" s="115"/>
      <c r="P519" s="127"/>
      <c r="Q519" s="113"/>
      <c r="R519" s="114"/>
      <c r="S519" s="579"/>
      <c r="T519" s="211"/>
    </row>
    <row r="520" spans="1:20" s="212" customFormat="1" ht="111.75" customHeight="1" x14ac:dyDescent="0.35">
      <c r="A520" s="576"/>
      <c r="B520" s="600"/>
      <c r="C520" s="114" t="s">
        <v>135</v>
      </c>
      <c r="D520" s="116" t="s">
        <v>130</v>
      </c>
      <c r="E520" s="114" t="s">
        <v>25</v>
      </c>
      <c r="F520" s="114">
        <v>100</v>
      </c>
      <c r="G520" s="114">
        <v>100</v>
      </c>
      <c r="H520" s="509">
        <f t="shared" si="21"/>
        <v>100</v>
      </c>
      <c r="I520" s="114"/>
      <c r="J520" s="118"/>
      <c r="K520" s="116"/>
      <c r="L520" s="114"/>
      <c r="M520" s="119"/>
      <c r="N520" s="119"/>
      <c r="O520" s="115"/>
      <c r="P520" s="127"/>
      <c r="Q520" s="113"/>
      <c r="R520" s="114"/>
      <c r="S520" s="579"/>
      <c r="T520" s="211"/>
    </row>
    <row r="521" spans="1:20" s="124" customFormat="1" ht="40.5" customHeight="1" x14ac:dyDescent="0.35">
      <c r="A521" s="576"/>
      <c r="B521" s="600"/>
      <c r="C521" s="191"/>
      <c r="D521" s="183" t="s">
        <v>6</v>
      </c>
      <c r="E521" s="191"/>
      <c r="F521" s="184"/>
      <c r="G521" s="184"/>
      <c r="H521" s="187"/>
      <c r="I521" s="187">
        <f>(H516+H517+H518+H519+H520)/5</f>
        <v>100</v>
      </c>
      <c r="J521" s="182"/>
      <c r="K521" s="183" t="s">
        <v>6</v>
      </c>
      <c r="L521" s="184"/>
      <c r="M521" s="188"/>
      <c r="N521" s="188"/>
      <c r="O521" s="187"/>
      <c r="P521" s="187">
        <f>O516</f>
        <v>98.68421052631578</v>
      </c>
      <c r="Q521" s="187">
        <f>(I521+P521)/2</f>
        <v>99.34210526315789</v>
      </c>
      <c r="R521" s="191" t="s">
        <v>361</v>
      </c>
      <c r="S521" s="579"/>
      <c r="T521" s="123"/>
    </row>
    <row r="522" spans="1:20" s="212" customFormat="1" ht="45" customHeight="1" x14ac:dyDescent="0.35">
      <c r="A522" s="576"/>
      <c r="B522" s="600"/>
      <c r="C522" s="502" t="s">
        <v>42</v>
      </c>
      <c r="D522" s="146" t="s">
        <v>90</v>
      </c>
      <c r="E522" s="114"/>
      <c r="F522" s="114"/>
      <c r="G522" s="114"/>
      <c r="H522" s="113"/>
      <c r="I522" s="113"/>
      <c r="J522" s="502" t="s">
        <v>42</v>
      </c>
      <c r="K522" s="146" t="s">
        <v>90</v>
      </c>
      <c r="L522" s="114"/>
      <c r="M522" s="119"/>
      <c r="N522" s="119"/>
      <c r="O522" s="113"/>
      <c r="P522" s="127"/>
      <c r="Q522" s="113"/>
      <c r="R522" s="114"/>
      <c r="S522" s="579"/>
      <c r="T522" s="211"/>
    </row>
    <row r="523" spans="1:20" s="212" customFormat="1" ht="43.5" customHeight="1" x14ac:dyDescent="0.35">
      <c r="A523" s="576"/>
      <c r="B523" s="600"/>
      <c r="C523" s="114" t="s">
        <v>43</v>
      </c>
      <c r="D523" s="116" t="s">
        <v>136</v>
      </c>
      <c r="E523" s="114" t="s">
        <v>25</v>
      </c>
      <c r="F523" s="114">
        <v>100</v>
      </c>
      <c r="G523" s="114">
        <v>100</v>
      </c>
      <c r="H523" s="509">
        <f t="shared" ref="H523:H524" si="22">IF(G523/F523*100&gt;100,100,G523/F523*100)</f>
        <v>100</v>
      </c>
      <c r="I523" s="114"/>
      <c r="J523" s="118" t="s">
        <v>43</v>
      </c>
      <c r="K523" s="116" t="s">
        <v>89</v>
      </c>
      <c r="L523" s="114" t="s">
        <v>38</v>
      </c>
      <c r="M523" s="114">
        <v>66</v>
      </c>
      <c r="N523" s="114">
        <v>62</v>
      </c>
      <c r="O523" s="115">
        <f>IF(N523/M523*100&gt;110,110,N523/M523*100)</f>
        <v>93.939393939393938</v>
      </c>
      <c r="P523" s="127"/>
      <c r="Q523" s="113"/>
      <c r="R523" s="502"/>
      <c r="S523" s="579"/>
      <c r="T523" s="211"/>
    </row>
    <row r="524" spans="1:20" s="212" customFormat="1" ht="79.5" customHeight="1" x14ac:dyDescent="0.35">
      <c r="A524" s="576"/>
      <c r="B524" s="600"/>
      <c r="C524" s="114" t="s">
        <v>137</v>
      </c>
      <c r="D524" s="116" t="s">
        <v>138</v>
      </c>
      <c r="E524" s="114" t="s">
        <v>25</v>
      </c>
      <c r="F524" s="114">
        <v>90</v>
      </c>
      <c r="G524" s="114">
        <v>90</v>
      </c>
      <c r="H524" s="509">
        <f t="shared" si="22"/>
        <v>100</v>
      </c>
      <c r="I524" s="114"/>
      <c r="J524" s="118"/>
      <c r="K524" s="116"/>
      <c r="L524" s="114"/>
      <c r="M524" s="119"/>
      <c r="N524" s="119"/>
      <c r="O524" s="115"/>
      <c r="P524" s="127"/>
      <c r="Q524" s="113"/>
      <c r="R524" s="114"/>
      <c r="S524" s="579"/>
      <c r="T524" s="211"/>
    </row>
    <row r="525" spans="1:20" s="124" customFormat="1" ht="40.5" customHeight="1" x14ac:dyDescent="0.35">
      <c r="A525" s="576"/>
      <c r="B525" s="600"/>
      <c r="C525" s="191"/>
      <c r="D525" s="183" t="s">
        <v>6</v>
      </c>
      <c r="E525" s="191"/>
      <c r="F525" s="184"/>
      <c r="G525" s="184"/>
      <c r="H525" s="187"/>
      <c r="I525" s="187">
        <f>(H523+H524)/2</f>
        <v>100</v>
      </c>
      <c r="J525" s="182"/>
      <c r="K525" s="183" t="s">
        <v>6</v>
      </c>
      <c r="L525" s="184"/>
      <c r="M525" s="188"/>
      <c r="N525" s="188"/>
      <c r="O525" s="187"/>
      <c r="P525" s="187">
        <f>O523</f>
        <v>93.939393939393938</v>
      </c>
      <c r="Q525" s="187">
        <f>(I525+P525)/2</f>
        <v>96.969696969696969</v>
      </c>
      <c r="R525" s="191" t="s">
        <v>361</v>
      </c>
      <c r="S525" s="579"/>
      <c r="T525" s="123"/>
    </row>
    <row r="526" spans="1:20" s="212" customFormat="1" ht="49.5" customHeight="1" x14ac:dyDescent="0.35">
      <c r="A526" s="576"/>
      <c r="B526" s="600"/>
      <c r="C526" s="502" t="s">
        <v>164</v>
      </c>
      <c r="D526" s="146" t="s">
        <v>211</v>
      </c>
      <c r="E526" s="114"/>
      <c r="F526" s="114"/>
      <c r="G526" s="114"/>
      <c r="H526" s="113"/>
      <c r="I526" s="113"/>
      <c r="J526" s="502" t="s">
        <v>164</v>
      </c>
      <c r="K526" s="146" t="str">
        <f>D526</f>
        <v>Реализация дополнительных общеразвивающих программ</v>
      </c>
      <c r="L526" s="114"/>
      <c r="M526" s="119"/>
      <c r="N526" s="119"/>
      <c r="O526" s="113"/>
      <c r="P526" s="127"/>
      <c r="Q526" s="113"/>
      <c r="R526" s="114"/>
      <c r="S526" s="579"/>
      <c r="T526" s="211"/>
    </row>
    <row r="527" spans="1:20" s="212" customFormat="1" ht="74.25" customHeight="1" x14ac:dyDescent="0.35">
      <c r="A527" s="576"/>
      <c r="B527" s="600"/>
      <c r="C527" s="114" t="s">
        <v>165</v>
      </c>
      <c r="D527" s="116" t="s">
        <v>138</v>
      </c>
      <c r="E527" s="114" t="s">
        <v>25</v>
      </c>
      <c r="F527" s="114">
        <v>90</v>
      </c>
      <c r="G527" s="114">
        <v>90</v>
      </c>
      <c r="H527" s="509">
        <f>IF(G527/F527*100&gt;100,100,G527/F527*100)</f>
        <v>100</v>
      </c>
      <c r="I527" s="114"/>
      <c r="J527" s="118" t="s">
        <v>165</v>
      </c>
      <c r="K527" s="116" t="s">
        <v>469</v>
      </c>
      <c r="L527" s="114" t="s">
        <v>337</v>
      </c>
      <c r="M527" s="114">
        <v>50592</v>
      </c>
      <c r="N527" s="114">
        <v>55286</v>
      </c>
      <c r="O527" s="115">
        <f>IF(N527/M527*100&gt;110,110,N527/M527*100)</f>
        <v>109.278146742568</v>
      </c>
      <c r="P527" s="127"/>
      <c r="Q527" s="113"/>
      <c r="R527" s="114"/>
      <c r="S527" s="579"/>
      <c r="T527" s="211"/>
    </row>
    <row r="528" spans="1:20" s="124" customFormat="1" ht="39" customHeight="1" x14ac:dyDescent="0.35">
      <c r="A528" s="576"/>
      <c r="B528" s="600"/>
      <c r="C528" s="191"/>
      <c r="D528" s="183" t="s">
        <v>6</v>
      </c>
      <c r="E528" s="191"/>
      <c r="F528" s="184"/>
      <c r="G528" s="184"/>
      <c r="H528" s="187"/>
      <c r="I528" s="187">
        <f>H527</f>
        <v>100</v>
      </c>
      <c r="J528" s="182"/>
      <c r="K528" s="183" t="s">
        <v>6</v>
      </c>
      <c r="L528" s="184"/>
      <c r="M528" s="188"/>
      <c r="N528" s="188"/>
      <c r="O528" s="187"/>
      <c r="P528" s="187">
        <f>O527</f>
        <v>109.278146742568</v>
      </c>
      <c r="Q528" s="187">
        <f>(I528+P528)/2</f>
        <v>104.639073371284</v>
      </c>
      <c r="R528" s="191" t="s">
        <v>31</v>
      </c>
      <c r="S528" s="579"/>
      <c r="T528" s="123"/>
    </row>
    <row r="529" spans="1:20" s="212" customFormat="1" ht="66.75" customHeight="1" x14ac:dyDescent="0.35">
      <c r="A529" s="576">
        <v>43</v>
      </c>
      <c r="B529" s="600" t="s">
        <v>143</v>
      </c>
      <c r="C529" s="502" t="s">
        <v>12</v>
      </c>
      <c r="D529" s="146" t="s">
        <v>128</v>
      </c>
      <c r="E529" s="502"/>
      <c r="F529" s="502"/>
      <c r="G529" s="502"/>
      <c r="H529" s="113"/>
      <c r="I529" s="113"/>
      <c r="J529" s="502" t="s">
        <v>12</v>
      </c>
      <c r="K529" s="146" t="s">
        <v>128</v>
      </c>
      <c r="L529" s="114"/>
      <c r="M529" s="114"/>
      <c r="N529" s="114"/>
      <c r="O529" s="113"/>
      <c r="P529" s="127"/>
      <c r="Q529" s="113"/>
      <c r="R529" s="114"/>
      <c r="S529" s="579" t="s">
        <v>280</v>
      </c>
      <c r="T529" s="211"/>
    </row>
    <row r="530" spans="1:20" s="212" customFormat="1" ht="66.75" customHeight="1" x14ac:dyDescent="0.35">
      <c r="A530" s="576"/>
      <c r="B530" s="600"/>
      <c r="C530" s="114" t="s">
        <v>7</v>
      </c>
      <c r="D530" s="116" t="s">
        <v>129</v>
      </c>
      <c r="E530" s="114" t="s">
        <v>25</v>
      </c>
      <c r="F530" s="114">
        <v>100</v>
      </c>
      <c r="G530" s="114">
        <v>100</v>
      </c>
      <c r="H530" s="509">
        <f t="shared" ref="H530:H534" si="23">IF(G530/F530*100&gt;100,100,G530/F530*100)</f>
        <v>100</v>
      </c>
      <c r="I530" s="114"/>
      <c r="J530" s="114" t="s">
        <v>7</v>
      </c>
      <c r="K530" s="116" t="s">
        <v>89</v>
      </c>
      <c r="L530" s="114" t="s">
        <v>38</v>
      </c>
      <c r="M530" s="114">
        <v>199</v>
      </c>
      <c r="N530" s="114">
        <v>196</v>
      </c>
      <c r="O530" s="115">
        <f>IF(N530/M530*100&gt;110,110,N530/M530*100)</f>
        <v>98.492462311557787</v>
      </c>
      <c r="P530" s="127"/>
      <c r="Q530" s="113"/>
      <c r="R530" s="114"/>
      <c r="S530" s="579"/>
      <c r="T530" s="211"/>
    </row>
    <row r="531" spans="1:20" s="212" customFormat="1" ht="39.75" customHeight="1" x14ac:dyDescent="0.35">
      <c r="A531" s="576"/>
      <c r="B531" s="600"/>
      <c r="C531" s="114" t="s">
        <v>8</v>
      </c>
      <c r="D531" s="116" t="s">
        <v>561</v>
      </c>
      <c r="E531" s="114" t="s">
        <v>25</v>
      </c>
      <c r="F531" s="114">
        <v>100</v>
      </c>
      <c r="G531" s="114">
        <v>100</v>
      </c>
      <c r="H531" s="509">
        <f t="shared" si="23"/>
        <v>100</v>
      </c>
      <c r="I531" s="114"/>
      <c r="J531" s="114"/>
      <c r="K531" s="503"/>
      <c r="L531" s="114"/>
      <c r="M531" s="117"/>
      <c r="N531" s="117"/>
      <c r="O531" s="115"/>
      <c r="P531" s="127"/>
      <c r="Q531" s="113"/>
      <c r="R531" s="114"/>
      <c r="S531" s="579"/>
      <c r="T531" s="211"/>
    </row>
    <row r="532" spans="1:20" s="212" customFormat="1" ht="47.25" customHeight="1" x14ac:dyDescent="0.35">
      <c r="A532" s="576"/>
      <c r="B532" s="600"/>
      <c r="C532" s="114" t="s">
        <v>9</v>
      </c>
      <c r="D532" s="116" t="s">
        <v>468</v>
      </c>
      <c r="E532" s="114" t="s">
        <v>25</v>
      </c>
      <c r="F532" s="114">
        <v>100</v>
      </c>
      <c r="G532" s="114">
        <v>100</v>
      </c>
      <c r="H532" s="509">
        <f t="shared" si="23"/>
        <v>100</v>
      </c>
      <c r="I532" s="114"/>
      <c r="J532" s="118"/>
      <c r="K532" s="116"/>
      <c r="L532" s="114"/>
      <c r="M532" s="119"/>
      <c r="N532" s="119"/>
      <c r="O532" s="115"/>
      <c r="P532" s="127"/>
      <c r="Q532" s="113"/>
      <c r="R532" s="114"/>
      <c r="S532" s="579"/>
      <c r="T532" s="211"/>
    </row>
    <row r="533" spans="1:20" s="212" customFormat="1" ht="64.5" customHeight="1" x14ac:dyDescent="0.35">
      <c r="A533" s="576"/>
      <c r="B533" s="600"/>
      <c r="C533" s="114" t="s">
        <v>10</v>
      </c>
      <c r="D533" s="116" t="s">
        <v>88</v>
      </c>
      <c r="E533" s="114" t="s">
        <v>25</v>
      </c>
      <c r="F533" s="114">
        <v>90</v>
      </c>
      <c r="G533" s="114">
        <v>100</v>
      </c>
      <c r="H533" s="509">
        <f t="shared" si="23"/>
        <v>100</v>
      </c>
      <c r="I533" s="114"/>
      <c r="J533" s="118"/>
      <c r="K533" s="116"/>
      <c r="L533" s="114"/>
      <c r="M533" s="119"/>
      <c r="N533" s="119"/>
      <c r="O533" s="115"/>
      <c r="P533" s="127"/>
      <c r="Q533" s="113"/>
      <c r="R533" s="114"/>
      <c r="S533" s="579"/>
      <c r="T533" s="211"/>
    </row>
    <row r="534" spans="1:20" s="212" customFormat="1" ht="119.25" customHeight="1" x14ac:dyDescent="0.35">
      <c r="A534" s="576"/>
      <c r="B534" s="600"/>
      <c r="C534" s="114" t="s">
        <v>35</v>
      </c>
      <c r="D534" s="116" t="s">
        <v>130</v>
      </c>
      <c r="E534" s="114" t="s">
        <v>25</v>
      </c>
      <c r="F534" s="114">
        <v>100</v>
      </c>
      <c r="G534" s="114">
        <v>100</v>
      </c>
      <c r="H534" s="509">
        <f t="shared" si="23"/>
        <v>100</v>
      </c>
      <c r="I534" s="114"/>
      <c r="J534" s="118"/>
      <c r="K534" s="116"/>
      <c r="L534" s="114"/>
      <c r="M534" s="119"/>
      <c r="N534" s="119"/>
      <c r="O534" s="115"/>
      <c r="P534" s="127"/>
      <c r="Q534" s="113"/>
      <c r="R534" s="114"/>
      <c r="S534" s="579"/>
      <c r="T534" s="211"/>
    </row>
    <row r="535" spans="1:20" s="333" customFormat="1" ht="40.5" customHeight="1" x14ac:dyDescent="0.35">
      <c r="A535" s="576"/>
      <c r="B535" s="600"/>
      <c r="C535" s="191"/>
      <c r="D535" s="183" t="s">
        <v>6</v>
      </c>
      <c r="E535" s="191"/>
      <c r="F535" s="184"/>
      <c r="G535" s="184"/>
      <c r="H535" s="187"/>
      <c r="I535" s="187">
        <f>(H530+H531+H532+H533+H534)/5</f>
        <v>100</v>
      </c>
      <c r="J535" s="182"/>
      <c r="K535" s="183" t="s">
        <v>6</v>
      </c>
      <c r="L535" s="184"/>
      <c r="M535" s="188"/>
      <c r="N535" s="188"/>
      <c r="O535" s="187"/>
      <c r="P535" s="187">
        <f>O530</f>
        <v>98.492462311557787</v>
      </c>
      <c r="Q535" s="187">
        <f>(I535+P535)/2</f>
        <v>99.246231155778901</v>
      </c>
      <c r="R535" s="191" t="s">
        <v>361</v>
      </c>
      <c r="S535" s="579"/>
      <c r="T535" s="332"/>
    </row>
    <row r="536" spans="1:20" s="212" customFormat="1" ht="57.75" customHeight="1" x14ac:dyDescent="0.35">
      <c r="A536" s="576"/>
      <c r="B536" s="600"/>
      <c r="C536" s="502" t="s">
        <v>13</v>
      </c>
      <c r="D536" s="146" t="s">
        <v>131</v>
      </c>
      <c r="E536" s="114"/>
      <c r="F536" s="114"/>
      <c r="G536" s="114"/>
      <c r="H536" s="113"/>
      <c r="I536" s="113"/>
      <c r="J536" s="502" t="s">
        <v>13</v>
      </c>
      <c r="K536" s="146" t="s">
        <v>131</v>
      </c>
      <c r="L536" s="114"/>
      <c r="M536" s="119"/>
      <c r="N536" s="119"/>
      <c r="O536" s="113"/>
      <c r="P536" s="127"/>
      <c r="Q536" s="113"/>
      <c r="R536" s="114"/>
      <c r="S536" s="579"/>
      <c r="T536" s="211"/>
    </row>
    <row r="537" spans="1:20" s="212" customFormat="1" ht="63.75" customHeight="1" x14ac:dyDescent="0.35">
      <c r="A537" s="576"/>
      <c r="B537" s="600"/>
      <c r="C537" s="114" t="s">
        <v>14</v>
      </c>
      <c r="D537" s="116" t="s">
        <v>132</v>
      </c>
      <c r="E537" s="114" t="s">
        <v>25</v>
      </c>
      <c r="F537" s="114">
        <v>100</v>
      </c>
      <c r="G537" s="114">
        <v>100</v>
      </c>
      <c r="H537" s="509">
        <f t="shared" ref="H537:H540" si="24">IF(G537/F537*100&gt;100,100,G537/F537*100)</f>
        <v>100</v>
      </c>
      <c r="I537" s="114"/>
      <c r="J537" s="118" t="s">
        <v>14</v>
      </c>
      <c r="K537" s="116" t="s">
        <v>89</v>
      </c>
      <c r="L537" s="114" t="s">
        <v>38</v>
      </c>
      <c r="M537" s="114">
        <v>247</v>
      </c>
      <c r="N537" s="114">
        <v>248</v>
      </c>
      <c r="O537" s="115">
        <f>IF(N537/M537*100&gt;110,110,N537/M537*100)</f>
        <v>100.40485829959513</v>
      </c>
      <c r="P537" s="114"/>
      <c r="Q537" s="113"/>
      <c r="R537" s="114"/>
      <c r="S537" s="579"/>
      <c r="T537" s="211"/>
    </row>
    <row r="538" spans="1:20" s="212" customFormat="1" ht="45.75" customHeight="1" x14ac:dyDescent="0.35">
      <c r="A538" s="576"/>
      <c r="B538" s="600"/>
      <c r="C538" s="114" t="s">
        <v>15</v>
      </c>
      <c r="D538" s="116" t="s">
        <v>559</v>
      </c>
      <c r="E538" s="114" t="s">
        <v>25</v>
      </c>
      <c r="F538" s="114">
        <v>100</v>
      </c>
      <c r="G538" s="114">
        <v>100</v>
      </c>
      <c r="H538" s="509">
        <f t="shared" si="24"/>
        <v>100</v>
      </c>
      <c r="I538" s="114"/>
      <c r="J538" s="118"/>
      <c r="K538" s="116"/>
      <c r="L538" s="114"/>
      <c r="M538" s="119"/>
      <c r="N538" s="119"/>
      <c r="O538" s="115"/>
      <c r="P538" s="127"/>
      <c r="Q538" s="113"/>
      <c r="R538" s="114"/>
      <c r="S538" s="579"/>
      <c r="T538" s="211"/>
    </row>
    <row r="539" spans="1:20" s="212" customFormat="1" ht="54" customHeight="1" x14ac:dyDescent="0.35">
      <c r="A539" s="576"/>
      <c r="B539" s="600"/>
      <c r="C539" s="114" t="s">
        <v>39</v>
      </c>
      <c r="D539" s="116" t="s">
        <v>468</v>
      </c>
      <c r="E539" s="114" t="s">
        <v>25</v>
      </c>
      <c r="F539" s="114">
        <v>100</v>
      </c>
      <c r="G539" s="114">
        <v>100</v>
      </c>
      <c r="H539" s="509">
        <f t="shared" si="24"/>
        <v>100</v>
      </c>
      <c r="I539" s="114"/>
      <c r="J539" s="118"/>
      <c r="K539" s="116"/>
      <c r="L539" s="114"/>
      <c r="M539" s="119"/>
      <c r="N539" s="119"/>
      <c r="O539" s="115"/>
      <c r="P539" s="127"/>
      <c r="Q539" s="113"/>
      <c r="R539" s="114"/>
      <c r="S539" s="579"/>
      <c r="T539" s="211"/>
    </row>
    <row r="540" spans="1:20" s="212" customFormat="1" ht="63.75" customHeight="1" x14ac:dyDescent="0.35">
      <c r="A540" s="576"/>
      <c r="B540" s="600"/>
      <c r="C540" s="114" t="s">
        <v>45</v>
      </c>
      <c r="D540" s="116" t="s">
        <v>88</v>
      </c>
      <c r="E540" s="114" t="s">
        <v>25</v>
      </c>
      <c r="F540" s="114">
        <v>90</v>
      </c>
      <c r="G540" s="114">
        <v>100</v>
      </c>
      <c r="H540" s="509">
        <f t="shared" si="24"/>
        <v>100</v>
      </c>
      <c r="I540" s="114"/>
      <c r="J540" s="118"/>
      <c r="K540" s="116"/>
      <c r="L540" s="114"/>
      <c r="M540" s="119"/>
      <c r="N540" s="119"/>
      <c r="O540" s="115"/>
      <c r="P540" s="127"/>
      <c r="Q540" s="113"/>
      <c r="R540" s="114"/>
      <c r="S540" s="579"/>
      <c r="T540" s="211"/>
    </row>
    <row r="541" spans="1:20" s="212" customFormat="1" ht="102.75" customHeight="1" x14ac:dyDescent="0.35">
      <c r="A541" s="576"/>
      <c r="B541" s="600"/>
      <c r="C541" s="114" t="s">
        <v>66</v>
      </c>
      <c r="D541" s="116" t="s">
        <v>130</v>
      </c>
      <c r="E541" s="114" t="s">
        <v>25</v>
      </c>
      <c r="F541" s="114">
        <v>100</v>
      </c>
      <c r="G541" s="114">
        <v>100</v>
      </c>
      <c r="H541" s="509">
        <f>IF(G541/F541*100&gt;100,100,G541/F541*100)</f>
        <v>100</v>
      </c>
      <c r="I541" s="114"/>
      <c r="J541" s="118"/>
      <c r="K541" s="116"/>
      <c r="L541" s="114"/>
      <c r="M541" s="119"/>
      <c r="N541" s="119"/>
      <c r="O541" s="115"/>
      <c r="P541" s="127"/>
      <c r="Q541" s="113"/>
      <c r="R541" s="114"/>
      <c r="S541" s="579"/>
      <c r="T541" s="211"/>
    </row>
    <row r="542" spans="1:20" s="124" customFormat="1" ht="40.5" customHeight="1" x14ac:dyDescent="0.35">
      <c r="A542" s="576"/>
      <c r="B542" s="600"/>
      <c r="C542" s="191"/>
      <c r="D542" s="183" t="s">
        <v>6</v>
      </c>
      <c r="E542" s="191"/>
      <c r="F542" s="184"/>
      <c r="G542" s="184"/>
      <c r="H542" s="187"/>
      <c r="I542" s="187">
        <f>(H537+H538+H539+H540+H541)/5</f>
        <v>100</v>
      </c>
      <c r="J542" s="182"/>
      <c r="K542" s="183" t="s">
        <v>6</v>
      </c>
      <c r="L542" s="184"/>
      <c r="M542" s="188"/>
      <c r="N542" s="188"/>
      <c r="O542" s="187"/>
      <c r="P542" s="187">
        <f>O537</f>
        <v>100.40485829959513</v>
      </c>
      <c r="Q542" s="187">
        <f>(I542+P542)/2</f>
        <v>100.20242914979757</v>
      </c>
      <c r="R542" s="191" t="s">
        <v>31</v>
      </c>
      <c r="S542" s="579"/>
      <c r="T542" s="123"/>
    </row>
    <row r="543" spans="1:20" s="212" customFormat="1" ht="55.5" customHeight="1" x14ac:dyDescent="0.35">
      <c r="A543" s="576"/>
      <c r="B543" s="600"/>
      <c r="C543" s="502" t="s">
        <v>28</v>
      </c>
      <c r="D543" s="146" t="s">
        <v>133</v>
      </c>
      <c r="E543" s="114"/>
      <c r="F543" s="114"/>
      <c r="G543" s="114"/>
      <c r="H543" s="113"/>
      <c r="I543" s="113"/>
      <c r="J543" s="502" t="s">
        <v>28</v>
      </c>
      <c r="K543" s="146" t="str">
        <f>D543</f>
        <v>Реализация основных общеобразовательных программ среднего общего образования</v>
      </c>
      <c r="L543" s="114"/>
      <c r="M543" s="119"/>
      <c r="N543" s="119"/>
      <c r="O543" s="113"/>
      <c r="P543" s="127"/>
      <c r="Q543" s="113"/>
      <c r="R543" s="114"/>
      <c r="S543" s="579"/>
      <c r="T543" s="211"/>
    </row>
    <row r="544" spans="1:20" s="212" customFormat="1" ht="68.25" customHeight="1" x14ac:dyDescent="0.35">
      <c r="A544" s="576"/>
      <c r="B544" s="600"/>
      <c r="C544" s="114" t="s">
        <v>29</v>
      </c>
      <c r="D544" s="116" t="s">
        <v>134</v>
      </c>
      <c r="E544" s="114" t="s">
        <v>25</v>
      </c>
      <c r="F544" s="114">
        <v>100</v>
      </c>
      <c r="G544" s="114">
        <v>100</v>
      </c>
      <c r="H544" s="509">
        <f t="shared" ref="H544:H548" si="25">IF(G544/F544*100&gt;100,100,G544/F544*100)</f>
        <v>100</v>
      </c>
      <c r="I544" s="114"/>
      <c r="J544" s="118" t="s">
        <v>29</v>
      </c>
      <c r="K544" s="116" t="s">
        <v>89</v>
      </c>
      <c r="L544" s="114" t="s">
        <v>38</v>
      </c>
      <c r="M544" s="114">
        <v>68</v>
      </c>
      <c r="N544" s="114">
        <v>66</v>
      </c>
      <c r="O544" s="115">
        <f>IF(N544/M544*100&gt;110,110,N544/M544*100)</f>
        <v>97.058823529411768</v>
      </c>
      <c r="P544" s="114"/>
      <c r="Q544" s="113"/>
      <c r="R544" s="114"/>
      <c r="S544" s="579"/>
      <c r="T544" s="211"/>
    </row>
    <row r="545" spans="1:20" s="212" customFormat="1" ht="49.5" customHeight="1" x14ac:dyDescent="0.35">
      <c r="A545" s="576"/>
      <c r="B545" s="600"/>
      <c r="C545" s="114" t="s">
        <v>30</v>
      </c>
      <c r="D545" s="116" t="s">
        <v>560</v>
      </c>
      <c r="E545" s="114" t="s">
        <v>25</v>
      </c>
      <c r="F545" s="114">
        <v>100</v>
      </c>
      <c r="G545" s="114">
        <v>100</v>
      </c>
      <c r="H545" s="509">
        <f t="shared" si="25"/>
        <v>100</v>
      </c>
      <c r="I545" s="114"/>
      <c r="J545" s="118"/>
      <c r="K545" s="116"/>
      <c r="L545" s="114"/>
      <c r="M545" s="119"/>
      <c r="N545" s="119"/>
      <c r="O545" s="115"/>
      <c r="P545" s="127"/>
      <c r="Q545" s="113"/>
      <c r="R545" s="114"/>
      <c r="S545" s="579"/>
      <c r="T545" s="211"/>
    </row>
    <row r="546" spans="1:20" s="212" customFormat="1" ht="66" customHeight="1" x14ac:dyDescent="0.35">
      <c r="A546" s="576"/>
      <c r="B546" s="600"/>
      <c r="C546" s="114" t="s">
        <v>52</v>
      </c>
      <c r="D546" s="116" t="s">
        <v>468</v>
      </c>
      <c r="E546" s="114" t="s">
        <v>25</v>
      </c>
      <c r="F546" s="114">
        <v>100</v>
      </c>
      <c r="G546" s="114">
        <v>100</v>
      </c>
      <c r="H546" s="509">
        <f t="shared" si="25"/>
        <v>100</v>
      </c>
      <c r="I546" s="114"/>
      <c r="J546" s="118"/>
      <c r="K546" s="116"/>
      <c r="L546" s="114"/>
      <c r="M546" s="119"/>
      <c r="N546" s="119"/>
      <c r="O546" s="115"/>
      <c r="P546" s="127"/>
      <c r="Q546" s="113"/>
      <c r="R546" s="114"/>
      <c r="S546" s="579"/>
      <c r="T546" s="211"/>
    </row>
    <row r="547" spans="1:20" s="212" customFormat="1" ht="60" customHeight="1" x14ac:dyDescent="0.35">
      <c r="A547" s="576"/>
      <c r="B547" s="600"/>
      <c r="C547" s="114" t="s">
        <v>53</v>
      </c>
      <c r="D547" s="116" t="s">
        <v>88</v>
      </c>
      <c r="E547" s="114" t="s">
        <v>25</v>
      </c>
      <c r="F547" s="114">
        <v>90</v>
      </c>
      <c r="G547" s="114">
        <v>100</v>
      </c>
      <c r="H547" s="509">
        <f t="shared" si="25"/>
        <v>100</v>
      </c>
      <c r="I547" s="114"/>
      <c r="J547" s="118"/>
      <c r="K547" s="116"/>
      <c r="L547" s="114"/>
      <c r="M547" s="119"/>
      <c r="N547" s="119"/>
      <c r="O547" s="115"/>
      <c r="P547" s="127"/>
      <c r="Q547" s="113"/>
      <c r="R547" s="114"/>
      <c r="S547" s="579"/>
      <c r="T547" s="211"/>
    </row>
    <row r="548" spans="1:20" s="212" customFormat="1" ht="122.25" customHeight="1" x14ac:dyDescent="0.35">
      <c r="A548" s="576"/>
      <c r="B548" s="600"/>
      <c r="C548" s="114" t="s">
        <v>135</v>
      </c>
      <c r="D548" s="116" t="s">
        <v>130</v>
      </c>
      <c r="E548" s="114" t="s">
        <v>25</v>
      </c>
      <c r="F548" s="114">
        <v>100</v>
      </c>
      <c r="G548" s="114">
        <v>100</v>
      </c>
      <c r="H548" s="509">
        <f t="shared" si="25"/>
        <v>100</v>
      </c>
      <c r="I548" s="114"/>
      <c r="J548" s="118"/>
      <c r="K548" s="116"/>
      <c r="L548" s="114"/>
      <c r="M548" s="119"/>
      <c r="N548" s="119"/>
      <c r="O548" s="115"/>
      <c r="P548" s="127"/>
      <c r="Q548" s="113"/>
      <c r="R548" s="114"/>
      <c r="S548" s="579"/>
      <c r="T548" s="211"/>
    </row>
    <row r="549" spans="1:20" s="124" customFormat="1" ht="40.5" customHeight="1" x14ac:dyDescent="0.35">
      <c r="A549" s="576"/>
      <c r="B549" s="600"/>
      <c r="C549" s="191"/>
      <c r="D549" s="183" t="s">
        <v>6</v>
      </c>
      <c r="E549" s="191"/>
      <c r="F549" s="184"/>
      <c r="G549" s="184"/>
      <c r="H549" s="187"/>
      <c r="I549" s="187">
        <f>(H544+H545+H546+H547+H548)/5</f>
        <v>100</v>
      </c>
      <c r="J549" s="182"/>
      <c r="K549" s="183" t="s">
        <v>6</v>
      </c>
      <c r="L549" s="184"/>
      <c r="M549" s="188"/>
      <c r="N549" s="188"/>
      <c r="O549" s="187"/>
      <c r="P549" s="187">
        <f>O544</f>
        <v>97.058823529411768</v>
      </c>
      <c r="Q549" s="187">
        <f>(I549+P549)/2</f>
        <v>98.529411764705884</v>
      </c>
      <c r="R549" s="191" t="s">
        <v>361</v>
      </c>
      <c r="S549" s="579"/>
      <c r="T549" s="123"/>
    </row>
    <row r="550" spans="1:20" s="212" customFormat="1" ht="41.25" customHeight="1" x14ac:dyDescent="0.35">
      <c r="A550" s="576"/>
      <c r="B550" s="600"/>
      <c r="C550" s="502" t="s">
        <v>42</v>
      </c>
      <c r="D550" s="146" t="s">
        <v>90</v>
      </c>
      <c r="E550" s="114"/>
      <c r="F550" s="114"/>
      <c r="G550" s="114"/>
      <c r="H550" s="113"/>
      <c r="I550" s="113"/>
      <c r="J550" s="502" t="s">
        <v>42</v>
      </c>
      <c r="K550" s="146" t="s">
        <v>90</v>
      </c>
      <c r="L550" s="114"/>
      <c r="M550" s="119"/>
      <c r="N550" s="119"/>
      <c r="O550" s="113"/>
      <c r="P550" s="127"/>
      <c r="Q550" s="113"/>
      <c r="R550" s="114"/>
      <c r="S550" s="579"/>
      <c r="T550" s="211"/>
    </row>
    <row r="551" spans="1:20" s="212" customFormat="1" ht="57.75" customHeight="1" x14ac:dyDescent="0.35">
      <c r="A551" s="576"/>
      <c r="B551" s="600"/>
      <c r="C551" s="114" t="s">
        <v>43</v>
      </c>
      <c r="D551" s="116" t="s">
        <v>136</v>
      </c>
      <c r="E551" s="114" t="s">
        <v>25</v>
      </c>
      <c r="F551" s="114">
        <v>100</v>
      </c>
      <c r="G551" s="114">
        <v>100</v>
      </c>
      <c r="H551" s="509">
        <f t="shared" ref="H551:H552" si="26">IF(G551/F551*100&gt;100,100,G551/F551*100)</f>
        <v>100</v>
      </c>
      <c r="I551" s="114"/>
      <c r="J551" s="118" t="s">
        <v>43</v>
      </c>
      <c r="K551" s="116" t="s">
        <v>89</v>
      </c>
      <c r="L551" s="114" t="s">
        <v>38</v>
      </c>
      <c r="M551" s="114">
        <v>50</v>
      </c>
      <c r="N551" s="114">
        <v>50</v>
      </c>
      <c r="O551" s="115">
        <f>IF(N551/M551*100&gt;110,110,N551/M551*100)</f>
        <v>100</v>
      </c>
      <c r="P551" s="127"/>
      <c r="Q551" s="113"/>
      <c r="R551" s="114"/>
      <c r="S551" s="579"/>
      <c r="T551" s="211"/>
    </row>
    <row r="552" spans="1:20" s="212" customFormat="1" ht="84.75" customHeight="1" x14ac:dyDescent="0.35">
      <c r="A552" s="576"/>
      <c r="B552" s="600"/>
      <c r="C552" s="114" t="s">
        <v>137</v>
      </c>
      <c r="D552" s="116" t="s">
        <v>138</v>
      </c>
      <c r="E552" s="114" t="s">
        <v>25</v>
      </c>
      <c r="F552" s="114">
        <v>90</v>
      </c>
      <c r="G552" s="114">
        <v>90</v>
      </c>
      <c r="H552" s="509">
        <f t="shared" si="26"/>
        <v>100</v>
      </c>
      <c r="I552" s="114"/>
      <c r="J552" s="118"/>
      <c r="K552" s="116"/>
      <c r="L552" s="114"/>
      <c r="M552" s="119"/>
      <c r="N552" s="119"/>
      <c r="O552" s="115"/>
      <c r="P552" s="127"/>
      <c r="Q552" s="113"/>
      <c r="R552" s="114"/>
      <c r="S552" s="579"/>
      <c r="T552" s="211"/>
    </row>
    <row r="553" spans="1:20" s="124" customFormat="1" ht="40.5" customHeight="1" x14ac:dyDescent="0.35">
      <c r="A553" s="576"/>
      <c r="B553" s="600"/>
      <c r="C553" s="191"/>
      <c r="D553" s="183" t="s">
        <v>6</v>
      </c>
      <c r="E553" s="191"/>
      <c r="F553" s="184"/>
      <c r="G553" s="184"/>
      <c r="H553" s="187"/>
      <c r="I553" s="187">
        <f>(H551+H552)/2</f>
        <v>100</v>
      </c>
      <c r="J553" s="182"/>
      <c r="K553" s="183" t="s">
        <v>6</v>
      </c>
      <c r="L553" s="184"/>
      <c r="M553" s="188"/>
      <c r="N553" s="188"/>
      <c r="O553" s="187"/>
      <c r="P553" s="187">
        <f>O551</f>
        <v>100</v>
      </c>
      <c r="Q553" s="187">
        <f>(I553+P553)/2</f>
        <v>100</v>
      </c>
      <c r="R553" s="191" t="s">
        <v>31</v>
      </c>
      <c r="S553" s="579"/>
      <c r="T553" s="123"/>
    </row>
    <row r="554" spans="1:20" s="212" customFormat="1" ht="49.5" customHeight="1" x14ac:dyDescent="0.35">
      <c r="A554" s="576"/>
      <c r="B554" s="600"/>
      <c r="C554" s="502" t="s">
        <v>164</v>
      </c>
      <c r="D554" s="146" t="s">
        <v>211</v>
      </c>
      <c r="E554" s="114"/>
      <c r="F554" s="114"/>
      <c r="G554" s="114"/>
      <c r="H554" s="113"/>
      <c r="I554" s="113"/>
      <c r="J554" s="502" t="s">
        <v>164</v>
      </c>
      <c r="K554" s="146" t="str">
        <f>D554</f>
        <v>Реализация дополнительных общеразвивающих программ</v>
      </c>
      <c r="L554" s="114"/>
      <c r="M554" s="119"/>
      <c r="N554" s="119"/>
      <c r="O554" s="113"/>
      <c r="P554" s="127"/>
      <c r="Q554" s="113"/>
      <c r="R554" s="114"/>
      <c r="S554" s="579"/>
      <c r="T554" s="211"/>
    </row>
    <row r="555" spans="1:20" s="212" customFormat="1" ht="49.5" customHeight="1" x14ac:dyDescent="0.35">
      <c r="A555" s="576"/>
      <c r="B555" s="600"/>
      <c r="C555" s="114" t="s">
        <v>165</v>
      </c>
      <c r="D555" s="116" t="s">
        <v>138</v>
      </c>
      <c r="E555" s="114" t="s">
        <v>25</v>
      </c>
      <c r="F555" s="114">
        <v>90</v>
      </c>
      <c r="G555" s="114">
        <v>90</v>
      </c>
      <c r="H555" s="509">
        <f>IF(G555/F555*100&gt;100,100,G555/F555*100)</f>
        <v>100</v>
      </c>
      <c r="I555" s="114"/>
      <c r="J555" s="118" t="s">
        <v>165</v>
      </c>
      <c r="K555" s="116" t="s">
        <v>469</v>
      </c>
      <c r="L555" s="114" t="s">
        <v>337</v>
      </c>
      <c r="M555" s="114">
        <v>50592</v>
      </c>
      <c r="N555" s="114">
        <v>50592</v>
      </c>
      <c r="O555" s="115">
        <f>IF(N555/M555*100&gt;110,110,N555/M555*100)</f>
        <v>100</v>
      </c>
      <c r="P555" s="127"/>
      <c r="Q555" s="113"/>
      <c r="R555" s="114"/>
      <c r="S555" s="579"/>
      <c r="T555" s="211"/>
    </row>
    <row r="556" spans="1:20" s="124" customFormat="1" ht="39" customHeight="1" x14ac:dyDescent="0.35">
      <c r="A556" s="576"/>
      <c r="B556" s="600"/>
      <c r="C556" s="191"/>
      <c r="D556" s="183" t="s">
        <v>6</v>
      </c>
      <c r="E556" s="191"/>
      <c r="F556" s="184"/>
      <c r="G556" s="184"/>
      <c r="H556" s="187"/>
      <c r="I556" s="187">
        <f>H555</f>
        <v>100</v>
      </c>
      <c r="J556" s="182"/>
      <c r="K556" s="183" t="s">
        <v>6</v>
      </c>
      <c r="L556" s="184"/>
      <c r="M556" s="188"/>
      <c r="N556" s="188"/>
      <c r="O556" s="187"/>
      <c r="P556" s="187">
        <f>O555</f>
        <v>100</v>
      </c>
      <c r="Q556" s="187">
        <f>(I556+P556)/2</f>
        <v>100</v>
      </c>
      <c r="R556" s="191" t="s">
        <v>31</v>
      </c>
      <c r="S556" s="579"/>
      <c r="T556" s="123"/>
    </row>
    <row r="557" spans="1:20" s="212" customFormat="1" ht="69" customHeight="1" x14ac:dyDescent="0.35">
      <c r="A557" s="576">
        <v>44</v>
      </c>
      <c r="B557" s="600" t="s">
        <v>144</v>
      </c>
      <c r="C557" s="502" t="s">
        <v>12</v>
      </c>
      <c r="D557" s="146" t="s">
        <v>128</v>
      </c>
      <c r="E557" s="502"/>
      <c r="F557" s="502"/>
      <c r="G557" s="502"/>
      <c r="H557" s="113"/>
      <c r="I557" s="113"/>
      <c r="J557" s="502" t="s">
        <v>12</v>
      </c>
      <c r="K557" s="146" t="s">
        <v>128</v>
      </c>
      <c r="L557" s="114"/>
      <c r="M557" s="114"/>
      <c r="N557" s="114"/>
      <c r="O557" s="113"/>
      <c r="P557" s="127"/>
      <c r="Q557" s="113"/>
      <c r="R557" s="114"/>
      <c r="S557" s="579" t="s">
        <v>607</v>
      </c>
      <c r="T557" s="211"/>
    </row>
    <row r="558" spans="1:20" s="212" customFormat="1" ht="71.25" customHeight="1" x14ac:dyDescent="0.35">
      <c r="A558" s="576"/>
      <c r="B558" s="600"/>
      <c r="C558" s="114" t="s">
        <v>7</v>
      </c>
      <c r="D558" s="116" t="s">
        <v>129</v>
      </c>
      <c r="E558" s="114" t="s">
        <v>25</v>
      </c>
      <c r="F558" s="114">
        <v>100</v>
      </c>
      <c r="G558" s="114">
        <v>100</v>
      </c>
      <c r="H558" s="509">
        <f t="shared" ref="H558:H562" si="27">IF(G558/F558*100&gt;100,100,G558/F558*100)</f>
        <v>100</v>
      </c>
      <c r="I558" s="114"/>
      <c r="J558" s="114" t="s">
        <v>7</v>
      </c>
      <c r="K558" s="116" t="s">
        <v>391</v>
      </c>
      <c r="L558" s="114" t="s">
        <v>38</v>
      </c>
      <c r="M558" s="114">
        <v>245</v>
      </c>
      <c r="N558" s="114">
        <v>235</v>
      </c>
      <c r="O558" s="115">
        <f>IF(N558/M558*100&gt;110,110,N558/M558*100)</f>
        <v>95.918367346938766</v>
      </c>
      <c r="P558" s="127"/>
      <c r="Q558" s="113"/>
      <c r="R558" s="114"/>
      <c r="S558" s="579"/>
      <c r="T558" s="211"/>
    </row>
    <row r="559" spans="1:20" s="212" customFormat="1" ht="45.75" customHeight="1" x14ac:dyDescent="0.35">
      <c r="A559" s="576"/>
      <c r="B559" s="600"/>
      <c r="C559" s="114" t="s">
        <v>8</v>
      </c>
      <c r="D559" s="116" t="s">
        <v>561</v>
      </c>
      <c r="E559" s="114" t="s">
        <v>25</v>
      </c>
      <c r="F559" s="114">
        <v>100</v>
      </c>
      <c r="G559" s="114">
        <v>100</v>
      </c>
      <c r="H559" s="509">
        <f t="shared" si="27"/>
        <v>100</v>
      </c>
      <c r="I559" s="114"/>
      <c r="J559" s="114"/>
      <c r="K559" s="503"/>
      <c r="L559" s="114"/>
      <c r="M559" s="117"/>
      <c r="N559" s="117"/>
      <c r="O559" s="115"/>
      <c r="P559" s="127"/>
      <c r="Q559" s="113"/>
      <c r="R559" s="114"/>
      <c r="S559" s="579"/>
      <c r="T559" s="211"/>
    </row>
    <row r="560" spans="1:20" s="212" customFormat="1" ht="43.5" customHeight="1" x14ac:dyDescent="0.35">
      <c r="A560" s="576"/>
      <c r="B560" s="600"/>
      <c r="C560" s="114" t="s">
        <v>9</v>
      </c>
      <c r="D560" s="116" t="s">
        <v>468</v>
      </c>
      <c r="E560" s="114" t="s">
        <v>389</v>
      </c>
      <c r="F560" s="114">
        <v>100</v>
      </c>
      <c r="G560" s="114">
        <v>100</v>
      </c>
      <c r="H560" s="509">
        <f t="shared" si="27"/>
        <v>100</v>
      </c>
      <c r="I560" s="114"/>
      <c r="J560" s="118"/>
      <c r="K560" s="116"/>
      <c r="L560" s="114"/>
      <c r="M560" s="119"/>
      <c r="N560" s="119"/>
      <c r="O560" s="115"/>
      <c r="P560" s="127"/>
      <c r="Q560" s="113"/>
      <c r="R560" s="114"/>
      <c r="S560" s="579"/>
      <c r="T560" s="211"/>
    </row>
    <row r="561" spans="1:20" s="212" customFormat="1" ht="60" customHeight="1" x14ac:dyDescent="0.35">
      <c r="A561" s="576"/>
      <c r="B561" s="600"/>
      <c r="C561" s="114" t="s">
        <v>10</v>
      </c>
      <c r="D561" s="116" t="s">
        <v>390</v>
      </c>
      <c r="E561" s="114" t="s">
        <v>25</v>
      </c>
      <c r="F561" s="114">
        <v>90</v>
      </c>
      <c r="G561" s="114">
        <v>100</v>
      </c>
      <c r="H561" s="509">
        <f t="shared" si="27"/>
        <v>100</v>
      </c>
      <c r="I561" s="114"/>
      <c r="J561" s="118"/>
      <c r="K561" s="116"/>
      <c r="L561" s="114"/>
      <c r="M561" s="119"/>
      <c r="N561" s="119"/>
      <c r="O561" s="115"/>
      <c r="P561" s="127"/>
      <c r="Q561" s="113"/>
      <c r="R561" s="114"/>
      <c r="S561" s="579"/>
      <c r="T561" s="211"/>
    </row>
    <row r="562" spans="1:20" s="212" customFormat="1" ht="111.75" customHeight="1" x14ac:dyDescent="0.35">
      <c r="A562" s="576"/>
      <c r="B562" s="600"/>
      <c r="C562" s="114" t="s">
        <v>35</v>
      </c>
      <c r="D562" s="116" t="s">
        <v>130</v>
      </c>
      <c r="E562" s="114" t="s">
        <v>25</v>
      </c>
      <c r="F562" s="114">
        <v>100</v>
      </c>
      <c r="G562" s="114">
        <v>100</v>
      </c>
      <c r="H562" s="509">
        <f t="shared" si="27"/>
        <v>100</v>
      </c>
      <c r="I562" s="114"/>
      <c r="J562" s="118"/>
      <c r="K562" s="116"/>
      <c r="L562" s="114"/>
      <c r="M562" s="119"/>
      <c r="N562" s="119"/>
      <c r="O562" s="115"/>
      <c r="P562" s="127"/>
      <c r="Q562" s="113"/>
      <c r="R562" s="114"/>
      <c r="S562" s="579"/>
      <c r="T562" s="211"/>
    </row>
    <row r="563" spans="1:20" s="124" customFormat="1" ht="40.5" customHeight="1" x14ac:dyDescent="0.35">
      <c r="A563" s="576"/>
      <c r="B563" s="600"/>
      <c r="C563" s="191"/>
      <c r="D563" s="183" t="s">
        <v>6</v>
      </c>
      <c r="E563" s="191"/>
      <c r="F563" s="184"/>
      <c r="G563" s="184"/>
      <c r="H563" s="187"/>
      <c r="I563" s="187">
        <f>(H558+H559+H560+H561+H562)/5</f>
        <v>100</v>
      </c>
      <c r="J563" s="182"/>
      <c r="K563" s="183" t="s">
        <v>6</v>
      </c>
      <c r="L563" s="184"/>
      <c r="M563" s="188"/>
      <c r="N563" s="188"/>
      <c r="O563" s="187"/>
      <c r="P563" s="187">
        <f>O558</f>
        <v>95.918367346938766</v>
      </c>
      <c r="Q563" s="187">
        <f>(I563+P563)/2</f>
        <v>97.959183673469383</v>
      </c>
      <c r="R563" s="191" t="s">
        <v>361</v>
      </c>
      <c r="S563" s="579"/>
      <c r="T563" s="123"/>
    </row>
    <row r="564" spans="1:20" s="212" customFormat="1" ht="66" customHeight="1" x14ac:dyDescent="0.35">
      <c r="A564" s="576"/>
      <c r="B564" s="600"/>
      <c r="C564" s="502" t="s">
        <v>13</v>
      </c>
      <c r="D564" s="146" t="s">
        <v>131</v>
      </c>
      <c r="E564" s="114"/>
      <c r="F564" s="114"/>
      <c r="G564" s="114"/>
      <c r="H564" s="113"/>
      <c r="I564" s="113"/>
      <c r="J564" s="502" t="s">
        <v>13</v>
      </c>
      <c r="K564" s="146" t="s">
        <v>131</v>
      </c>
      <c r="L564" s="114"/>
      <c r="M564" s="119"/>
      <c r="N564" s="119"/>
      <c r="O564" s="113"/>
      <c r="P564" s="127"/>
      <c r="Q564" s="113"/>
      <c r="R564" s="114"/>
      <c r="S564" s="579"/>
      <c r="T564" s="211"/>
    </row>
    <row r="565" spans="1:20" s="212" customFormat="1" ht="69.75" customHeight="1" x14ac:dyDescent="0.35">
      <c r="A565" s="576"/>
      <c r="B565" s="600"/>
      <c r="C565" s="114" t="s">
        <v>14</v>
      </c>
      <c r="D565" s="116" t="s">
        <v>132</v>
      </c>
      <c r="E565" s="114" t="s">
        <v>25</v>
      </c>
      <c r="F565" s="114">
        <v>100</v>
      </c>
      <c r="G565" s="114">
        <v>100</v>
      </c>
      <c r="H565" s="509">
        <f t="shared" ref="H565:H569" si="28">IF(G565/F565*100&gt;100,100,G565/F565*100)</f>
        <v>100</v>
      </c>
      <c r="I565" s="114"/>
      <c r="J565" s="118" t="s">
        <v>14</v>
      </c>
      <c r="K565" s="116" t="s">
        <v>391</v>
      </c>
      <c r="L565" s="114" t="s">
        <v>38</v>
      </c>
      <c r="M565" s="114">
        <v>278</v>
      </c>
      <c r="N565" s="114">
        <v>277</v>
      </c>
      <c r="O565" s="115">
        <f>IF(N565/M565*100&gt;110,110,N565/M565*100)</f>
        <v>99.64028776978418</v>
      </c>
      <c r="P565" s="114"/>
      <c r="Q565" s="113"/>
      <c r="R565" s="114"/>
      <c r="S565" s="579"/>
      <c r="T565" s="211"/>
    </row>
    <row r="566" spans="1:20" s="212" customFormat="1" ht="51" customHeight="1" x14ac:dyDescent="0.35">
      <c r="A566" s="576"/>
      <c r="B566" s="600"/>
      <c r="C566" s="114" t="s">
        <v>15</v>
      </c>
      <c r="D566" s="116" t="s">
        <v>559</v>
      </c>
      <c r="E566" s="114" t="s">
        <v>25</v>
      </c>
      <c r="F566" s="114">
        <v>100</v>
      </c>
      <c r="G566" s="114">
        <v>100</v>
      </c>
      <c r="H566" s="509">
        <f t="shared" si="28"/>
        <v>100</v>
      </c>
      <c r="I566" s="114"/>
      <c r="J566" s="118"/>
      <c r="K566" s="116"/>
      <c r="L566" s="114"/>
      <c r="M566" s="119"/>
      <c r="N566" s="119"/>
      <c r="O566" s="115"/>
      <c r="P566" s="127"/>
      <c r="Q566" s="113"/>
      <c r="R566" s="114"/>
      <c r="S566" s="579"/>
      <c r="T566" s="211"/>
    </row>
    <row r="567" spans="1:20" s="212" customFormat="1" ht="60" customHeight="1" x14ac:dyDescent="0.35">
      <c r="A567" s="576"/>
      <c r="B567" s="600"/>
      <c r="C567" s="114" t="s">
        <v>39</v>
      </c>
      <c r="D567" s="116" t="s">
        <v>468</v>
      </c>
      <c r="E567" s="114" t="s">
        <v>389</v>
      </c>
      <c r="F567" s="114">
        <v>100</v>
      </c>
      <c r="G567" s="114">
        <v>100</v>
      </c>
      <c r="H567" s="509">
        <f t="shared" si="28"/>
        <v>100</v>
      </c>
      <c r="I567" s="114"/>
      <c r="J567" s="118"/>
      <c r="K567" s="116"/>
      <c r="L567" s="114"/>
      <c r="M567" s="119"/>
      <c r="N567" s="119"/>
      <c r="O567" s="115"/>
      <c r="P567" s="127"/>
      <c r="Q567" s="113"/>
      <c r="R567" s="114"/>
      <c r="S567" s="579"/>
      <c r="T567" s="211"/>
    </row>
    <row r="568" spans="1:20" s="212" customFormat="1" ht="67.5" customHeight="1" x14ac:dyDescent="0.35">
      <c r="A568" s="576"/>
      <c r="B568" s="600"/>
      <c r="C568" s="114" t="s">
        <v>45</v>
      </c>
      <c r="D568" s="116" t="s">
        <v>390</v>
      </c>
      <c r="E568" s="114" t="s">
        <v>25</v>
      </c>
      <c r="F568" s="114">
        <v>90</v>
      </c>
      <c r="G568" s="114">
        <v>100</v>
      </c>
      <c r="H568" s="509">
        <f t="shared" si="28"/>
        <v>100</v>
      </c>
      <c r="I568" s="114"/>
      <c r="J568" s="118"/>
      <c r="K568" s="116"/>
      <c r="L568" s="114"/>
      <c r="M568" s="119"/>
      <c r="N568" s="119"/>
      <c r="O568" s="115"/>
      <c r="P568" s="127"/>
      <c r="Q568" s="113"/>
      <c r="R568" s="114"/>
      <c r="S568" s="579"/>
      <c r="T568" s="211"/>
    </row>
    <row r="569" spans="1:20" s="212" customFormat="1" ht="104.25" customHeight="1" x14ac:dyDescent="0.35">
      <c r="A569" s="576"/>
      <c r="B569" s="600"/>
      <c r="C569" s="114" t="s">
        <v>66</v>
      </c>
      <c r="D569" s="116" t="s">
        <v>130</v>
      </c>
      <c r="E569" s="114" t="s">
        <v>25</v>
      </c>
      <c r="F569" s="114">
        <v>100</v>
      </c>
      <c r="G569" s="114">
        <v>100</v>
      </c>
      <c r="H569" s="509">
        <f t="shared" si="28"/>
        <v>100</v>
      </c>
      <c r="I569" s="114"/>
      <c r="J569" s="118"/>
      <c r="K569" s="116"/>
      <c r="L569" s="114"/>
      <c r="M569" s="119"/>
      <c r="N569" s="119"/>
      <c r="O569" s="115"/>
      <c r="P569" s="127"/>
      <c r="Q569" s="113"/>
      <c r="R569" s="114"/>
      <c r="S569" s="579"/>
      <c r="T569" s="211"/>
    </row>
    <row r="570" spans="1:20" s="124" customFormat="1" ht="40.5" customHeight="1" x14ac:dyDescent="0.35">
      <c r="A570" s="576"/>
      <c r="B570" s="600"/>
      <c r="C570" s="191"/>
      <c r="D570" s="183" t="s">
        <v>6</v>
      </c>
      <c r="E570" s="191"/>
      <c r="F570" s="184"/>
      <c r="G570" s="184"/>
      <c r="H570" s="187"/>
      <c r="I570" s="187">
        <f>(H565+H566+H567+H568+H569)/5</f>
        <v>100</v>
      </c>
      <c r="J570" s="182"/>
      <c r="K570" s="183" t="s">
        <v>6</v>
      </c>
      <c r="L570" s="184"/>
      <c r="M570" s="188"/>
      <c r="N570" s="188"/>
      <c r="O570" s="187"/>
      <c r="P570" s="187">
        <f>O565</f>
        <v>99.64028776978418</v>
      </c>
      <c r="Q570" s="187">
        <f>(I570+P570)/2</f>
        <v>99.82014388489209</v>
      </c>
      <c r="R570" s="191" t="s">
        <v>361</v>
      </c>
      <c r="S570" s="579"/>
      <c r="T570" s="123"/>
    </row>
    <row r="571" spans="1:20" s="212" customFormat="1" ht="59.25" customHeight="1" x14ac:dyDescent="0.35">
      <c r="A571" s="576"/>
      <c r="B571" s="600"/>
      <c r="C571" s="502" t="s">
        <v>28</v>
      </c>
      <c r="D571" s="146" t="s">
        <v>133</v>
      </c>
      <c r="E571" s="114"/>
      <c r="F571" s="114"/>
      <c r="G571" s="114"/>
      <c r="H571" s="113"/>
      <c r="I571" s="113"/>
      <c r="J571" s="502" t="s">
        <v>28</v>
      </c>
      <c r="K571" s="146" t="str">
        <f>D571</f>
        <v>Реализация основных общеобразовательных программ среднего общего образования</v>
      </c>
      <c r="L571" s="114"/>
      <c r="M571" s="119"/>
      <c r="N571" s="119"/>
      <c r="O571" s="113"/>
      <c r="P571" s="127"/>
      <c r="Q571" s="113"/>
      <c r="R571" s="114"/>
      <c r="S571" s="579"/>
      <c r="T571" s="211"/>
    </row>
    <row r="572" spans="1:20" s="212" customFormat="1" ht="66" customHeight="1" x14ac:dyDescent="0.35">
      <c r="A572" s="576"/>
      <c r="B572" s="600"/>
      <c r="C572" s="114" t="s">
        <v>29</v>
      </c>
      <c r="D572" s="116" t="s">
        <v>134</v>
      </c>
      <c r="E572" s="114" t="s">
        <v>25</v>
      </c>
      <c r="F572" s="114">
        <v>100</v>
      </c>
      <c r="G572" s="114">
        <v>100</v>
      </c>
      <c r="H572" s="509">
        <f t="shared" ref="H572:H576" si="29">IF(G572/F572*100&gt;100,100,G572/F572*100)</f>
        <v>100</v>
      </c>
      <c r="I572" s="114"/>
      <c r="J572" s="118" t="s">
        <v>29</v>
      </c>
      <c r="K572" s="116" t="s">
        <v>391</v>
      </c>
      <c r="L572" s="114" t="s">
        <v>38</v>
      </c>
      <c r="M572" s="114">
        <v>96</v>
      </c>
      <c r="N572" s="114">
        <v>96</v>
      </c>
      <c r="O572" s="115">
        <f>IF(N572/M572*100&gt;110,110,N572/M572*100)</f>
        <v>100</v>
      </c>
      <c r="P572" s="114"/>
      <c r="Q572" s="113"/>
      <c r="R572" s="114"/>
      <c r="S572" s="579"/>
      <c r="T572" s="211"/>
    </row>
    <row r="573" spans="1:20" s="212" customFormat="1" ht="54" customHeight="1" x14ac:dyDescent="0.35">
      <c r="A573" s="576"/>
      <c r="B573" s="600"/>
      <c r="C573" s="114" t="s">
        <v>30</v>
      </c>
      <c r="D573" s="116" t="s">
        <v>560</v>
      </c>
      <c r="E573" s="114" t="s">
        <v>25</v>
      </c>
      <c r="F573" s="114">
        <v>100</v>
      </c>
      <c r="G573" s="114">
        <v>100</v>
      </c>
      <c r="H573" s="509">
        <f t="shared" si="29"/>
        <v>100</v>
      </c>
      <c r="I573" s="114"/>
      <c r="J573" s="118"/>
      <c r="K573" s="116"/>
      <c r="L573" s="114"/>
      <c r="M573" s="119"/>
      <c r="N573" s="119"/>
      <c r="O573" s="115"/>
      <c r="P573" s="127"/>
      <c r="Q573" s="113"/>
      <c r="R573" s="114"/>
      <c r="S573" s="579"/>
      <c r="T573" s="211"/>
    </row>
    <row r="574" spans="1:20" s="212" customFormat="1" ht="63.75" customHeight="1" x14ac:dyDescent="0.35">
      <c r="A574" s="576"/>
      <c r="B574" s="600"/>
      <c r="C574" s="114" t="s">
        <v>52</v>
      </c>
      <c r="D574" s="116" t="s">
        <v>468</v>
      </c>
      <c r="E574" s="114" t="s">
        <v>389</v>
      </c>
      <c r="F574" s="114">
        <v>100</v>
      </c>
      <c r="G574" s="114">
        <v>100</v>
      </c>
      <c r="H574" s="509">
        <f t="shared" si="29"/>
        <v>100</v>
      </c>
      <c r="I574" s="114"/>
      <c r="J574" s="118"/>
      <c r="K574" s="116"/>
      <c r="L574" s="114"/>
      <c r="M574" s="119"/>
      <c r="N574" s="119"/>
      <c r="O574" s="115"/>
      <c r="P574" s="127"/>
      <c r="Q574" s="113"/>
      <c r="R574" s="114"/>
      <c r="S574" s="579"/>
      <c r="T574" s="211"/>
    </row>
    <row r="575" spans="1:20" s="212" customFormat="1" ht="81.75" customHeight="1" x14ac:dyDescent="0.35">
      <c r="A575" s="576"/>
      <c r="B575" s="600"/>
      <c r="C575" s="114" t="s">
        <v>53</v>
      </c>
      <c r="D575" s="116" t="s">
        <v>390</v>
      </c>
      <c r="E575" s="114" t="s">
        <v>25</v>
      </c>
      <c r="F575" s="114">
        <v>90</v>
      </c>
      <c r="G575" s="114">
        <v>100</v>
      </c>
      <c r="H575" s="509">
        <f t="shared" si="29"/>
        <v>100</v>
      </c>
      <c r="I575" s="114"/>
      <c r="J575" s="118"/>
      <c r="K575" s="116"/>
      <c r="L575" s="114"/>
      <c r="M575" s="119"/>
      <c r="N575" s="119"/>
      <c r="O575" s="115"/>
      <c r="P575" s="127"/>
      <c r="Q575" s="113"/>
      <c r="R575" s="114"/>
      <c r="S575" s="579"/>
      <c r="T575" s="211"/>
    </row>
    <row r="576" spans="1:20" s="212" customFormat="1" ht="110.25" customHeight="1" x14ac:dyDescent="0.35">
      <c r="A576" s="576"/>
      <c r="B576" s="600"/>
      <c r="C576" s="114" t="s">
        <v>135</v>
      </c>
      <c r="D576" s="116" t="s">
        <v>130</v>
      </c>
      <c r="E576" s="114" t="s">
        <v>25</v>
      </c>
      <c r="F576" s="114">
        <v>100</v>
      </c>
      <c r="G576" s="114">
        <v>100</v>
      </c>
      <c r="H576" s="509">
        <f t="shared" si="29"/>
        <v>100</v>
      </c>
      <c r="I576" s="114"/>
      <c r="J576" s="118"/>
      <c r="K576" s="116"/>
      <c r="L576" s="114"/>
      <c r="M576" s="119"/>
      <c r="N576" s="119"/>
      <c r="O576" s="115"/>
      <c r="P576" s="127"/>
      <c r="Q576" s="113"/>
      <c r="R576" s="114"/>
      <c r="S576" s="579"/>
      <c r="T576" s="211"/>
    </row>
    <row r="577" spans="1:20" s="124" customFormat="1" ht="40.5" customHeight="1" x14ac:dyDescent="0.35">
      <c r="A577" s="576"/>
      <c r="B577" s="600"/>
      <c r="C577" s="191"/>
      <c r="D577" s="183" t="s">
        <v>6</v>
      </c>
      <c r="E577" s="191"/>
      <c r="F577" s="184"/>
      <c r="G577" s="184"/>
      <c r="H577" s="187"/>
      <c r="I577" s="187">
        <f>(H572+H573+H574+H575+H576)/5</f>
        <v>100</v>
      </c>
      <c r="J577" s="182"/>
      <c r="K577" s="183" t="s">
        <v>6</v>
      </c>
      <c r="L577" s="184"/>
      <c r="M577" s="188"/>
      <c r="N577" s="188"/>
      <c r="O577" s="187"/>
      <c r="P577" s="187">
        <f>O572</f>
        <v>100</v>
      </c>
      <c r="Q577" s="187">
        <f>(I577+P577)/2</f>
        <v>100</v>
      </c>
      <c r="R577" s="191" t="s">
        <v>31</v>
      </c>
      <c r="S577" s="579"/>
      <c r="T577" s="123"/>
    </row>
    <row r="578" spans="1:20" s="212" customFormat="1" ht="49.5" customHeight="1" x14ac:dyDescent="0.35">
      <c r="A578" s="576"/>
      <c r="B578" s="600"/>
      <c r="C578" s="502" t="s">
        <v>42</v>
      </c>
      <c r="D578" s="146" t="s">
        <v>90</v>
      </c>
      <c r="E578" s="114"/>
      <c r="F578" s="114"/>
      <c r="G578" s="114"/>
      <c r="H578" s="113"/>
      <c r="I578" s="113"/>
      <c r="J578" s="502" t="s">
        <v>42</v>
      </c>
      <c r="K578" s="146" t="s">
        <v>90</v>
      </c>
      <c r="L578" s="114"/>
      <c r="M578" s="119"/>
      <c r="N578" s="119"/>
      <c r="O578" s="113"/>
      <c r="P578" s="127"/>
      <c r="Q578" s="113"/>
      <c r="R578" s="114"/>
      <c r="S578" s="579"/>
      <c r="T578" s="211"/>
    </row>
    <row r="579" spans="1:20" s="212" customFormat="1" ht="81.75" customHeight="1" x14ac:dyDescent="0.35">
      <c r="A579" s="576"/>
      <c r="B579" s="600"/>
      <c r="C579" s="114" t="s">
        <v>43</v>
      </c>
      <c r="D579" s="116" t="s">
        <v>136</v>
      </c>
      <c r="E579" s="114" t="s">
        <v>25</v>
      </c>
      <c r="F579" s="114">
        <v>100</v>
      </c>
      <c r="G579" s="114">
        <v>100</v>
      </c>
      <c r="H579" s="509">
        <f t="shared" ref="H579:H580" si="30">IF(G579/F579*100&gt;100,100,G579/F579*100)</f>
        <v>100</v>
      </c>
      <c r="I579" s="114"/>
      <c r="J579" s="118" t="s">
        <v>43</v>
      </c>
      <c r="K579" s="116" t="s">
        <v>391</v>
      </c>
      <c r="L579" s="114" t="s">
        <v>38</v>
      </c>
      <c r="M579" s="114">
        <v>61</v>
      </c>
      <c r="N579" s="114">
        <v>57</v>
      </c>
      <c r="O579" s="115">
        <f>IF(N579/M579*100&gt;110,110,N579/M579*100)</f>
        <v>93.442622950819683</v>
      </c>
      <c r="P579" s="127"/>
      <c r="Q579" s="113"/>
      <c r="R579" s="114"/>
      <c r="S579" s="579"/>
      <c r="T579" s="211"/>
    </row>
    <row r="580" spans="1:20" s="212" customFormat="1" ht="81.75" customHeight="1" x14ac:dyDescent="0.35">
      <c r="A580" s="576"/>
      <c r="B580" s="600"/>
      <c r="C580" s="114" t="s">
        <v>137</v>
      </c>
      <c r="D580" s="116" t="s">
        <v>138</v>
      </c>
      <c r="E580" s="114" t="s">
        <v>25</v>
      </c>
      <c r="F580" s="114">
        <v>90</v>
      </c>
      <c r="G580" s="114">
        <v>90</v>
      </c>
      <c r="H580" s="509">
        <f t="shared" si="30"/>
        <v>100</v>
      </c>
      <c r="I580" s="114"/>
      <c r="J580" s="118"/>
      <c r="K580" s="116"/>
      <c r="L580" s="114"/>
      <c r="M580" s="119"/>
      <c r="N580" s="119"/>
      <c r="O580" s="115"/>
      <c r="P580" s="127"/>
      <c r="Q580" s="113"/>
      <c r="R580" s="114"/>
      <c r="S580" s="579"/>
      <c r="T580" s="211"/>
    </row>
    <row r="581" spans="1:20" s="124" customFormat="1" ht="40.5" customHeight="1" x14ac:dyDescent="0.35">
      <c r="A581" s="576"/>
      <c r="B581" s="600"/>
      <c r="C581" s="191"/>
      <c r="D581" s="183" t="s">
        <v>6</v>
      </c>
      <c r="E581" s="191"/>
      <c r="F581" s="184"/>
      <c r="G581" s="184"/>
      <c r="H581" s="187"/>
      <c r="I581" s="187">
        <f>(H579+H580)/2</f>
        <v>100</v>
      </c>
      <c r="J581" s="182"/>
      <c r="K581" s="183" t="s">
        <v>6</v>
      </c>
      <c r="L581" s="184"/>
      <c r="M581" s="188"/>
      <c r="N581" s="188"/>
      <c r="O581" s="187"/>
      <c r="P581" s="187">
        <f>O579</f>
        <v>93.442622950819683</v>
      </c>
      <c r="Q581" s="187">
        <f>(I581+P581)/2</f>
        <v>96.721311475409834</v>
      </c>
      <c r="R581" s="191" t="s">
        <v>361</v>
      </c>
      <c r="S581" s="579"/>
      <c r="T581" s="123"/>
    </row>
    <row r="582" spans="1:20" s="212" customFormat="1" ht="51" customHeight="1" x14ac:dyDescent="0.35">
      <c r="A582" s="576"/>
      <c r="B582" s="600"/>
      <c r="C582" s="502" t="s">
        <v>164</v>
      </c>
      <c r="D582" s="146" t="s">
        <v>211</v>
      </c>
      <c r="E582" s="114"/>
      <c r="F582" s="114"/>
      <c r="G582" s="114"/>
      <c r="H582" s="113"/>
      <c r="I582" s="113"/>
      <c r="J582" s="502" t="s">
        <v>164</v>
      </c>
      <c r="K582" s="146" t="str">
        <f>D582</f>
        <v>Реализация дополнительных общеразвивающих программ</v>
      </c>
      <c r="L582" s="114"/>
      <c r="M582" s="119"/>
      <c r="N582" s="119"/>
      <c r="O582" s="113"/>
      <c r="P582" s="127"/>
      <c r="Q582" s="113"/>
      <c r="R582" s="114"/>
      <c r="S582" s="579"/>
      <c r="T582" s="211"/>
    </row>
    <row r="583" spans="1:20" s="212" customFormat="1" ht="49.5" customHeight="1" x14ac:dyDescent="0.35">
      <c r="A583" s="576"/>
      <c r="B583" s="600"/>
      <c r="C583" s="114" t="s">
        <v>165</v>
      </c>
      <c r="D583" s="116" t="s">
        <v>138</v>
      </c>
      <c r="E583" s="114" t="s">
        <v>25</v>
      </c>
      <c r="F583" s="114">
        <v>90</v>
      </c>
      <c r="G583" s="114">
        <v>90</v>
      </c>
      <c r="H583" s="509">
        <f>IF(G583/F583*100&gt;100,100,G583/F583*100)</f>
        <v>100</v>
      </c>
      <c r="I583" s="114"/>
      <c r="J583" s="118" t="s">
        <v>165</v>
      </c>
      <c r="K583" s="116" t="s">
        <v>391</v>
      </c>
      <c r="L583" s="114" t="s">
        <v>189</v>
      </c>
      <c r="M583" s="114">
        <v>53040</v>
      </c>
      <c r="N583" s="114">
        <v>53040</v>
      </c>
      <c r="O583" s="115">
        <f>IF(N583/M583*100&gt;110,110,N583/M583*100)</f>
        <v>100</v>
      </c>
      <c r="P583" s="127"/>
      <c r="Q583" s="113"/>
      <c r="R583" s="114"/>
      <c r="S583" s="579"/>
      <c r="T583" s="211"/>
    </row>
    <row r="584" spans="1:20" s="124" customFormat="1" ht="43.5" customHeight="1" x14ac:dyDescent="0.35">
      <c r="A584" s="576"/>
      <c r="B584" s="600"/>
      <c r="C584" s="191"/>
      <c r="D584" s="183" t="s">
        <v>6</v>
      </c>
      <c r="E584" s="191"/>
      <c r="F584" s="184"/>
      <c r="G584" s="184"/>
      <c r="H584" s="187"/>
      <c r="I584" s="187">
        <f>H583</f>
        <v>100</v>
      </c>
      <c r="J584" s="182"/>
      <c r="K584" s="183" t="s">
        <v>6</v>
      </c>
      <c r="L584" s="184"/>
      <c r="M584" s="188"/>
      <c r="N584" s="188"/>
      <c r="O584" s="187"/>
      <c r="P584" s="187">
        <f>O583</f>
        <v>100</v>
      </c>
      <c r="Q584" s="187">
        <f>(I584+P584)/2</f>
        <v>100</v>
      </c>
      <c r="R584" s="191" t="s">
        <v>31</v>
      </c>
      <c r="S584" s="579"/>
      <c r="T584" s="123"/>
    </row>
    <row r="585" spans="1:20" s="212" customFormat="1" ht="60" customHeight="1" x14ac:dyDescent="0.35">
      <c r="A585" s="576">
        <v>45</v>
      </c>
      <c r="B585" s="600" t="s">
        <v>145</v>
      </c>
      <c r="C585" s="502" t="s">
        <v>12</v>
      </c>
      <c r="D585" s="146" t="s">
        <v>128</v>
      </c>
      <c r="E585" s="502"/>
      <c r="F585" s="502"/>
      <c r="G585" s="502"/>
      <c r="H585" s="113"/>
      <c r="I585" s="113"/>
      <c r="J585" s="502" t="s">
        <v>12</v>
      </c>
      <c r="K585" s="146" t="s">
        <v>128</v>
      </c>
      <c r="L585" s="114"/>
      <c r="M585" s="114"/>
      <c r="N585" s="114"/>
      <c r="O585" s="113"/>
      <c r="P585" s="127"/>
      <c r="Q585" s="113"/>
      <c r="R585" s="114"/>
      <c r="S585" s="579" t="s">
        <v>280</v>
      </c>
      <c r="T585" s="211"/>
    </row>
    <row r="586" spans="1:20" s="212" customFormat="1" ht="60" customHeight="1" x14ac:dyDescent="0.35">
      <c r="A586" s="576"/>
      <c r="B586" s="600"/>
      <c r="C586" s="114" t="s">
        <v>7</v>
      </c>
      <c r="D586" s="116" t="s">
        <v>129</v>
      </c>
      <c r="E586" s="114" t="s">
        <v>25</v>
      </c>
      <c r="F586" s="114">
        <v>100</v>
      </c>
      <c r="G586" s="114">
        <v>100</v>
      </c>
      <c r="H586" s="509">
        <f t="shared" ref="H586:H590" si="31">IF(G586/F586*100&gt;100,100,G586/F586*100)</f>
        <v>100</v>
      </c>
      <c r="I586" s="114"/>
      <c r="J586" s="114" t="s">
        <v>7</v>
      </c>
      <c r="K586" s="116" t="s">
        <v>89</v>
      </c>
      <c r="L586" s="114" t="s">
        <v>38</v>
      </c>
      <c r="M586" s="114">
        <v>319</v>
      </c>
      <c r="N586" s="114">
        <v>310</v>
      </c>
      <c r="O586" s="115">
        <f>IF(N586/M586*100&gt;110,110,N586/M586*100)</f>
        <v>97.17868338557993</v>
      </c>
      <c r="P586" s="127"/>
      <c r="Q586" s="113"/>
      <c r="R586" s="114"/>
      <c r="S586" s="579"/>
      <c r="T586" s="211"/>
    </row>
    <row r="587" spans="1:20" s="212" customFormat="1" ht="41.25" customHeight="1" x14ac:dyDescent="0.35">
      <c r="A587" s="576"/>
      <c r="B587" s="600"/>
      <c r="C587" s="114" t="s">
        <v>8</v>
      </c>
      <c r="D587" s="116" t="s">
        <v>561</v>
      </c>
      <c r="E587" s="114" t="s">
        <v>25</v>
      </c>
      <c r="F587" s="114">
        <v>100</v>
      </c>
      <c r="G587" s="114">
        <v>100</v>
      </c>
      <c r="H587" s="509">
        <f t="shared" si="31"/>
        <v>100</v>
      </c>
      <c r="I587" s="114"/>
      <c r="J587" s="114"/>
      <c r="K587" s="503"/>
      <c r="L587" s="114"/>
      <c r="M587" s="117"/>
      <c r="N587" s="117"/>
      <c r="O587" s="115"/>
      <c r="P587" s="127"/>
      <c r="Q587" s="113"/>
      <c r="R587" s="114"/>
      <c r="S587" s="579"/>
      <c r="T587" s="211"/>
    </row>
    <row r="588" spans="1:20" s="212" customFormat="1" ht="60" customHeight="1" x14ac:dyDescent="0.35">
      <c r="A588" s="576"/>
      <c r="B588" s="600"/>
      <c r="C588" s="114" t="s">
        <v>9</v>
      </c>
      <c r="D588" s="116" t="s">
        <v>468</v>
      </c>
      <c r="E588" s="114" t="s">
        <v>25</v>
      </c>
      <c r="F588" s="114">
        <v>100</v>
      </c>
      <c r="G588" s="114">
        <v>100</v>
      </c>
      <c r="H588" s="509">
        <f t="shared" si="31"/>
        <v>100</v>
      </c>
      <c r="I588" s="114"/>
      <c r="J588" s="118"/>
      <c r="K588" s="116"/>
      <c r="L588" s="114"/>
      <c r="M588" s="119"/>
      <c r="N588" s="119"/>
      <c r="O588" s="115"/>
      <c r="P588" s="127"/>
      <c r="Q588" s="113"/>
      <c r="R588" s="114"/>
      <c r="S588" s="579"/>
      <c r="T588" s="211"/>
    </row>
    <row r="589" spans="1:20" s="212" customFormat="1" ht="60" customHeight="1" x14ac:dyDescent="0.35">
      <c r="A589" s="576"/>
      <c r="B589" s="600"/>
      <c r="C589" s="114" t="s">
        <v>10</v>
      </c>
      <c r="D589" s="116" t="s">
        <v>88</v>
      </c>
      <c r="E589" s="114" t="s">
        <v>25</v>
      </c>
      <c r="F589" s="114">
        <v>90</v>
      </c>
      <c r="G589" s="114">
        <v>90</v>
      </c>
      <c r="H589" s="509">
        <f t="shared" si="31"/>
        <v>100</v>
      </c>
      <c r="I589" s="114"/>
      <c r="J589" s="118"/>
      <c r="K589" s="116"/>
      <c r="L589" s="114"/>
      <c r="M589" s="119"/>
      <c r="N589" s="119"/>
      <c r="O589" s="115"/>
      <c r="P589" s="127"/>
      <c r="Q589" s="113"/>
      <c r="R589" s="114"/>
      <c r="S589" s="579"/>
      <c r="T589" s="211"/>
    </row>
    <row r="590" spans="1:20" s="212" customFormat="1" ht="112.5" customHeight="1" x14ac:dyDescent="0.35">
      <c r="A590" s="576"/>
      <c r="B590" s="600"/>
      <c r="C590" s="114" t="s">
        <v>35</v>
      </c>
      <c r="D590" s="116" t="s">
        <v>130</v>
      </c>
      <c r="E590" s="114" t="s">
        <v>25</v>
      </c>
      <c r="F590" s="114">
        <v>100</v>
      </c>
      <c r="G590" s="114">
        <v>100</v>
      </c>
      <c r="H590" s="509">
        <f t="shared" si="31"/>
        <v>100</v>
      </c>
      <c r="I590" s="114"/>
      <c r="J590" s="118"/>
      <c r="K590" s="116"/>
      <c r="L590" s="114"/>
      <c r="M590" s="119"/>
      <c r="N590" s="119"/>
      <c r="O590" s="115"/>
      <c r="P590" s="127"/>
      <c r="Q590" s="113"/>
      <c r="R590" s="114"/>
      <c r="S590" s="579"/>
      <c r="T590" s="211"/>
    </row>
    <row r="591" spans="1:20" s="124" customFormat="1" ht="40.5" customHeight="1" x14ac:dyDescent="0.35">
      <c r="A591" s="576"/>
      <c r="B591" s="600"/>
      <c r="C591" s="191"/>
      <c r="D591" s="183" t="s">
        <v>6</v>
      </c>
      <c r="E591" s="191"/>
      <c r="F591" s="184"/>
      <c r="G591" s="184"/>
      <c r="H591" s="187"/>
      <c r="I591" s="187">
        <f>(H586+H587+H588+H589+H590)/5</f>
        <v>100</v>
      </c>
      <c r="J591" s="182"/>
      <c r="K591" s="183" t="s">
        <v>6</v>
      </c>
      <c r="L591" s="184"/>
      <c r="M591" s="188"/>
      <c r="N591" s="188"/>
      <c r="O591" s="187"/>
      <c r="P591" s="187">
        <f>O586</f>
        <v>97.17868338557993</v>
      </c>
      <c r="Q591" s="187">
        <f>(I591+P591)/2</f>
        <v>98.589341692789958</v>
      </c>
      <c r="R591" s="191" t="s">
        <v>361</v>
      </c>
      <c r="S591" s="579"/>
      <c r="T591" s="123"/>
    </row>
    <row r="592" spans="1:20" s="212" customFormat="1" ht="60" customHeight="1" x14ac:dyDescent="0.35">
      <c r="A592" s="576"/>
      <c r="B592" s="600"/>
      <c r="C592" s="502" t="s">
        <v>13</v>
      </c>
      <c r="D592" s="146" t="s">
        <v>131</v>
      </c>
      <c r="E592" s="114"/>
      <c r="F592" s="114"/>
      <c r="G592" s="114"/>
      <c r="H592" s="113"/>
      <c r="I592" s="113"/>
      <c r="J592" s="502" t="s">
        <v>13</v>
      </c>
      <c r="K592" s="146" t="s">
        <v>131</v>
      </c>
      <c r="L592" s="114"/>
      <c r="M592" s="119"/>
      <c r="N592" s="119"/>
      <c r="O592" s="113"/>
      <c r="P592" s="127"/>
      <c r="Q592" s="113"/>
      <c r="R592" s="114"/>
      <c r="S592" s="579"/>
      <c r="T592" s="211"/>
    </row>
    <row r="593" spans="1:20" s="212" customFormat="1" ht="60" customHeight="1" x14ac:dyDescent="0.35">
      <c r="A593" s="576"/>
      <c r="B593" s="600"/>
      <c r="C593" s="114" t="s">
        <v>14</v>
      </c>
      <c r="D593" s="116" t="s">
        <v>132</v>
      </c>
      <c r="E593" s="114" t="s">
        <v>25</v>
      </c>
      <c r="F593" s="114">
        <v>100</v>
      </c>
      <c r="G593" s="114">
        <v>100</v>
      </c>
      <c r="H593" s="509">
        <f t="shared" ref="H593:H597" si="32">IF(G593/F593*100&gt;100,100,G593/F593*100)</f>
        <v>100</v>
      </c>
      <c r="I593" s="114"/>
      <c r="J593" s="118" t="s">
        <v>14</v>
      </c>
      <c r="K593" s="116" t="s">
        <v>89</v>
      </c>
      <c r="L593" s="114" t="s">
        <v>38</v>
      </c>
      <c r="M593" s="114">
        <v>367</v>
      </c>
      <c r="N593" s="114">
        <v>366</v>
      </c>
      <c r="O593" s="115">
        <f>IF(N593/M593*100&gt;110,110,N593/M593*100)</f>
        <v>99.727520435967293</v>
      </c>
      <c r="P593" s="114"/>
      <c r="Q593" s="113"/>
      <c r="R593" s="114"/>
      <c r="S593" s="579"/>
      <c r="T593" s="211"/>
    </row>
    <row r="594" spans="1:20" s="212" customFormat="1" ht="52.5" customHeight="1" x14ac:dyDescent="0.35">
      <c r="A594" s="576"/>
      <c r="B594" s="600"/>
      <c r="C594" s="114" t="s">
        <v>15</v>
      </c>
      <c r="D594" s="116" t="s">
        <v>559</v>
      </c>
      <c r="E594" s="114" t="s">
        <v>25</v>
      </c>
      <c r="F594" s="114">
        <v>100</v>
      </c>
      <c r="G594" s="114">
        <v>100</v>
      </c>
      <c r="H594" s="509">
        <f t="shared" si="32"/>
        <v>100</v>
      </c>
      <c r="I594" s="114"/>
      <c r="J594" s="118"/>
      <c r="K594" s="116"/>
      <c r="L594" s="114"/>
      <c r="M594" s="119"/>
      <c r="N594" s="119"/>
      <c r="O594" s="115"/>
      <c r="P594" s="127"/>
      <c r="Q594" s="113"/>
      <c r="R594" s="114"/>
      <c r="S594" s="579"/>
      <c r="T594" s="211"/>
    </row>
    <row r="595" spans="1:20" s="212" customFormat="1" ht="60" customHeight="1" x14ac:dyDescent="0.35">
      <c r="A595" s="576"/>
      <c r="B595" s="600"/>
      <c r="C595" s="114" t="s">
        <v>39</v>
      </c>
      <c r="D595" s="116" t="s">
        <v>468</v>
      </c>
      <c r="E595" s="114" t="s">
        <v>25</v>
      </c>
      <c r="F595" s="114">
        <v>100</v>
      </c>
      <c r="G595" s="114">
        <v>100</v>
      </c>
      <c r="H595" s="509">
        <f t="shared" si="32"/>
        <v>100</v>
      </c>
      <c r="I595" s="114"/>
      <c r="J595" s="118"/>
      <c r="K595" s="116"/>
      <c r="L595" s="114"/>
      <c r="M595" s="119"/>
      <c r="N595" s="119"/>
      <c r="O595" s="115"/>
      <c r="P595" s="127"/>
      <c r="Q595" s="113"/>
      <c r="R595" s="114"/>
      <c r="S595" s="579"/>
      <c r="T595" s="211"/>
    </row>
    <row r="596" spans="1:20" s="212" customFormat="1" ht="60" customHeight="1" x14ac:dyDescent="0.35">
      <c r="A596" s="576"/>
      <c r="B596" s="600"/>
      <c r="C596" s="114" t="s">
        <v>45</v>
      </c>
      <c r="D596" s="116" t="s">
        <v>88</v>
      </c>
      <c r="E596" s="114" t="s">
        <v>25</v>
      </c>
      <c r="F596" s="114">
        <v>90</v>
      </c>
      <c r="G596" s="114">
        <v>90</v>
      </c>
      <c r="H596" s="509">
        <f t="shared" si="32"/>
        <v>100</v>
      </c>
      <c r="I596" s="114"/>
      <c r="J596" s="118"/>
      <c r="K596" s="116"/>
      <c r="L596" s="114"/>
      <c r="M596" s="119"/>
      <c r="N596" s="119"/>
      <c r="O596" s="115"/>
      <c r="P596" s="127"/>
      <c r="Q596" s="113"/>
      <c r="R596" s="114"/>
      <c r="S596" s="579"/>
      <c r="T596" s="211"/>
    </row>
    <row r="597" spans="1:20" s="212" customFormat="1" ht="120.75" customHeight="1" x14ac:dyDescent="0.35">
      <c r="A597" s="576"/>
      <c r="B597" s="600"/>
      <c r="C597" s="114" t="s">
        <v>66</v>
      </c>
      <c r="D597" s="116" t="s">
        <v>130</v>
      </c>
      <c r="E597" s="114" t="s">
        <v>25</v>
      </c>
      <c r="F597" s="114">
        <v>100</v>
      </c>
      <c r="G597" s="114">
        <v>100</v>
      </c>
      <c r="H597" s="509">
        <f t="shared" si="32"/>
        <v>100</v>
      </c>
      <c r="I597" s="114"/>
      <c r="J597" s="118"/>
      <c r="K597" s="116"/>
      <c r="L597" s="114"/>
      <c r="M597" s="119"/>
      <c r="N597" s="119"/>
      <c r="O597" s="115"/>
      <c r="P597" s="127"/>
      <c r="Q597" s="113"/>
      <c r="R597" s="114"/>
      <c r="S597" s="579"/>
      <c r="T597" s="211"/>
    </row>
    <row r="598" spans="1:20" s="124" customFormat="1" ht="40.5" customHeight="1" x14ac:dyDescent="0.35">
      <c r="A598" s="576"/>
      <c r="B598" s="600"/>
      <c r="C598" s="191"/>
      <c r="D598" s="183" t="s">
        <v>6</v>
      </c>
      <c r="E598" s="191"/>
      <c r="F598" s="184"/>
      <c r="G598" s="184"/>
      <c r="H598" s="187"/>
      <c r="I598" s="187">
        <f>(H593+H594+H595+H596+H597)/5</f>
        <v>100</v>
      </c>
      <c r="J598" s="182"/>
      <c r="K598" s="183" t="s">
        <v>6</v>
      </c>
      <c r="L598" s="184"/>
      <c r="M598" s="188"/>
      <c r="N598" s="188"/>
      <c r="O598" s="187"/>
      <c r="P598" s="187">
        <f>O593</f>
        <v>99.727520435967293</v>
      </c>
      <c r="Q598" s="187">
        <f>(I598+P598)/2</f>
        <v>99.863760217983639</v>
      </c>
      <c r="R598" s="191" t="s">
        <v>361</v>
      </c>
      <c r="S598" s="579"/>
      <c r="T598" s="123"/>
    </row>
    <row r="599" spans="1:20" s="212" customFormat="1" ht="60" customHeight="1" x14ac:dyDescent="0.35">
      <c r="A599" s="576"/>
      <c r="B599" s="600"/>
      <c r="C599" s="502" t="s">
        <v>28</v>
      </c>
      <c r="D599" s="146" t="s">
        <v>133</v>
      </c>
      <c r="E599" s="114"/>
      <c r="F599" s="114"/>
      <c r="G599" s="114"/>
      <c r="H599" s="113"/>
      <c r="I599" s="113"/>
      <c r="J599" s="502" t="s">
        <v>28</v>
      </c>
      <c r="K599" s="146" t="s">
        <v>131</v>
      </c>
      <c r="L599" s="114"/>
      <c r="M599" s="119"/>
      <c r="N599" s="119"/>
      <c r="O599" s="113"/>
      <c r="P599" s="127"/>
      <c r="Q599" s="113"/>
      <c r="R599" s="114"/>
      <c r="S599" s="579"/>
      <c r="T599" s="211"/>
    </row>
    <row r="600" spans="1:20" s="212" customFormat="1" ht="60" customHeight="1" x14ac:dyDescent="0.35">
      <c r="A600" s="576"/>
      <c r="B600" s="600"/>
      <c r="C600" s="114" t="s">
        <v>29</v>
      </c>
      <c r="D600" s="116" t="s">
        <v>134</v>
      </c>
      <c r="E600" s="114" t="s">
        <v>25</v>
      </c>
      <c r="F600" s="114">
        <v>100</v>
      </c>
      <c r="G600" s="114">
        <v>100</v>
      </c>
      <c r="H600" s="509">
        <f t="shared" ref="H600:H604" si="33">IF(G600/F600*100&gt;100,100,G600/F600*100)</f>
        <v>100</v>
      </c>
      <c r="I600" s="114"/>
      <c r="J600" s="118" t="s">
        <v>29</v>
      </c>
      <c r="K600" s="116" t="s">
        <v>89</v>
      </c>
      <c r="L600" s="114" t="s">
        <v>38</v>
      </c>
      <c r="M600" s="114">
        <v>94</v>
      </c>
      <c r="N600" s="114">
        <v>93</v>
      </c>
      <c r="O600" s="115">
        <f>IF(N600/M600*100&gt;110,110,N600/M600*100)</f>
        <v>98.936170212765958</v>
      </c>
      <c r="P600" s="114"/>
      <c r="Q600" s="113"/>
      <c r="R600" s="114"/>
      <c r="S600" s="579"/>
      <c r="T600" s="211"/>
    </row>
    <row r="601" spans="1:20" s="212" customFormat="1" ht="45.75" customHeight="1" x14ac:dyDescent="0.35">
      <c r="A601" s="576"/>
      <c r="B601" s="600"/>
      <c r="C601" s="114" t="s">
        <v>30</v>
      </c>
      <c r="D601" s="116" t="s">
        <v>560</v>
      </c>
      <c r="E601" s="114" t="s">
        <v>25</v>
      </c>
      <c r="F601" s="114">
        <v>100</v>
      </c>
      <c r="G601" s="114">
        <v>100</v>
      </c>
      <c r="H601" s="509">
        <f t="shared" si="33"/>
        <v>100</v>
      </c>
      <c r="I601" s="114"/>
      <c r="J601" s="118"/>
      <c r="K601" s="116"/>
      <c r="L601" s="114"/>
      <c r="M601" s="119"/>
      <c r="N601" s="119"/>
      <c r="O601" s="115"/>
      <c r="P601" s="127"/>
      <c r="Q601" s="113"/>
      <c r="R601" s="114"/>
      <c r="S601" s="579"/>
      <c r="T601" s="211"/>
    </row>
    <row r="602" spans="1:20" s="212" customFormat="1" ht="51.75" customHeight="1" x14ac:dyDescent="0.35">
      <c r="A602" s="576"/>
      <c r="B602" s="600"/>
      <c r="C602" s="114" t="s">
        <v>52</v>
      </c>
      <c r="D602" s="116" t="s">
        <v>468</v>
      </c>
      <c r="E602" s="114" t="s">
        <v>25</v>
      </c>
      <c r="F602" s="114">
        <v>100</v>
      </c>
      <c r="G602" s="114">
        <v>100</v>
      </c>
      <c r="H602" s="509">
        <f t="shared" si="33"/>
        <v>100</v>
      </c>
      <c r="I602" s="114"/>
      <c r="J602" s="118"/>
      <c r="K602" s="116"/>
      <c r="L602" s="114"/>
      <c r="M602" s="119"/>
      <c r="N602" s="119"/>
      <c r="O602" s="115"/>
      <c r="P602" s="127"/>
      <c r="Q602" s="113"/>
      <c r="R602" s="114"/>
      <c r="S602" s="579"/>
      <c r="T602" s="211"/>
    </row>
    <row r="603" spans="1:20" s="212" customFormat="1" ht="60" customHeight="1" x14ac:dyDescent="0.35">
      <c r="A603" s="576"/>
      <c r="B603" s="600"/>
      <c r="C603" s="114" t="s">
        <v>53</v>
      </c>
      <c r="D603" s="116" t="s">
        <v>88</v>
      </c>
      <c r="E603" s="114" t="s">
        <v>25</v>
      </c>
      <c r="F603" s="114">
        <v>90</v>
      </c>
      <c r="G603" s="114">
        <v>90</v>
      </c>
      <c r="H603" s="509">
        <f t="shared" si="33"/>
        <v>100</v>
      </c>
      <c r="I603" s="114"/>
      <c r="J603" s="118"/>
      <c r="K603" s="116"/>
      <c r="L603" s="114"/>
      <c r="M603" s="119"/>
      <c r="N603" s="119"/>
      <c r="O603" s="115"/>
      <c r="P603" s="127"/>
      <c r="Q603" s="113"/>
      <c r="R603" s="114"/>
      <c r="S603" s="579"/>
      <c r="T603" s="211"/>
    </row>
    <row r="604" spans="1:20" s="212" customFormat="1" ht="110.25" customHeight="1" x14ac:dyDescent="0.35">
      <c r="A604" s="576"/>
      <c r="B604" s="600"/>
      <c r="C604" s="114" t="s">
        <v>135</v>
      </c>
      <c r="D604" s="116" t="s">
        <v>130</v>
      </c>
      <c r="E604" s="114" t="s">
        <v>25</v>
      </c>
      <c r="F604" s="114">
        <v>100</v>
      </c>
      <c r="G604" s="114">
        <v>100</v>
      </c>
      <c r="H604" s="509">
        <f t="shared" si="33"/>
        <v>100</v>
      </c>
      <c r="I604" s="114"/>
      <c r="J604" s="118"/>
      <c r="K604" s="116"/>
      <c r="L604" s="114"/>
      <c r="M604" s="119"/>
      <c r="N604" s="119"/>
      <c r="O604" s="115"/>
      <c r="P604" s="127"/>
      <c r="Q604" s="113"/>
      <c r="R604" s="114"/>
      <c r="S604" s="579"/>
      <c r="T604" s="211"/>
    </row>
    <row r="605" spans="1:20" s="124" customFormat="1" ht="40.5" customHeight="1" x14ac:dyDescent="0.35">
      <c r="A605" s="576"/>
      <c r="B605" s="600"/>
      <c r="C605" s="191"/>
      <c r="D605" s="183" t="s">
        <v>6</v>
      </c>
      <c r="E605" s="191"/>
      <c r="F605" s="184"/>
      <c r="G605" s="184"/>
      <c r="H605" s="187"/>
      <c r="I605" s="187">
        <f>(H600+H601+H602+H603+H604)/5</f>
        <v>100</v>
      </c>
      <c r="J605" s="182"/>
      <c r="K605" s="183" t="s">
        <v>6</v>
      </c>
      <c r="L605" s="184"/>
      <c r="M605" s="188"/>
      <c r="N605" s="188"/>
      <c r="O605" s="187"/>
      <c r="P605" s="187">
        <f>O600</f>
        <v>98.936170212765958</v>
      </c>
      <c r="Q605" s="187">
        <f>(I605+P605)/2</f>
        <v>99.468085106382972</v>
      </c>
      <c r="R605" s="191" t="s">
        <v>361</v>
      </c>
      <c r="S605" s="579"/>
      <c r="T605" s="123"/>
    </row>
    <row r="606" spans="1:20" s="212" customFormat="1" ht="39.75" customHeight="1" x14ac:dyDescent="0.35">
      <c r="A606" s="576"/>
      <c r="B606" s="600"/>
      <c r="C606" s="502" t="s">
        <v>42</v>
      </c>
      <c r="D606" s="146" t="s">
        <v>90</v>
      </c>
      <c r="E606" s="114"/>
      <c r="F606" s="114"/>
      <c r="G606" s="114"/>
      <c r="H606" s="113"/>
      <c r="I606" s="113"/>
      <c r="J606" s="502" t="s">
        <v>42</v>
      </c>
      <c r="K606" s="146" t="s">
        <v>90</v>
      </c>
      <c r="L606" s="114"/>
      <c r="M606" s="119"/>
      <c r="N606" s="119"/>
      <c r="O606" s="113"/>
      <c r="P606" s="127"/>
      <c r="Q606" s="113"/>
      <c r="R606" s="114"/>
      <c r="S606" s="579"/>
      <c r="T606" s="211"/>
    </row>
    <row r="607" spans="1:20" s="212" customFormat="1" ht="60" customHeight="1" x14ac:dyDescent="0.35">
      <c r="A607" s="576"/>
      <c r="B607" s="600"/>
      <c r="C607" s="114" t="s">
        <v>43</v>
      </c>
      <c r="D607" s="116" t="s">
        <v>136</v>
      </c>
      <c r="E607" s="114" t="s">
        <v>25</v>
      </c>
      <c r="F607" s="114">
        <v>100</v>
      </c>
      <c r="G607" s="114">
        <v>100</v>
      </c>
      <c r="H607" s="509">
        <f t="shared" ref="H607:H608" si="34">IF(G607/F607*100&gt;100,100,G607/F607*100)</f>
        <v>100</v>
      </c>
      <c r="I607" s="114"/>
      <c r="J607" s="118" t="s">
        <v>43</v>
      </c>
      <c r="K607" s="116" t="s">
        <v>89</v>
      </c>
      <c r="L607" s="114" t="s">
        <v>38</v>
      </c>
      <c r="M607" s="114">
        <v>162</v>
      </c>
      <c r="N607" s="114">
        <v>162</v>
      </c>
      <c r="O607" s="115">
        <f>IF(N607/M607*100&gt;110,110,N607/M607*100)</f>
        <v>100</v>
      </c>
      <c r="P607" s="127"/>
      <c r="Q607" s="113"/>
      <c r="R607" s="114"/>
      <c r="S607" s="579"/>
      <c r="T607" s="211"/>
    </row>
    <row r="608" spans="1:20" s="212" customFormat="1" ht="92.25" customHeight="1" x14ac:dyDescent="0.35">
      <c r="A608" s="576"/>
      <c r="B608" s="600"/>
      <c r="C608" s="114" t="s">
        <v>137</v>
      </c>
      <c r="D608" s="116" t="s">
        <v>138</v>
      </c>
      <c r="E608" s="114" t="s">
        <v>25</v>
      </c>
      <c r="F608" s="114">
        <v>90</v>
      </c>
      <c r="G608" s="114">
        <v>90</v>
      </c>
      <c r="H608" s="509">
        <f t="shared" si="34"/>
        <v>100</v>
      </c>
      <c r="I608" s="114"/>
      <c r="J608" s="118"/>
      <c r="K608" s="116"/>
      <c r="L608" s="114"/>
      <c r="M608" s="119"/>
      <c r="N608" s="119"/>
      <c r="O608" s="115"/>
      <c r="P608" s="127"/>
      <c r="Q608" s="113"/>
      <c r="R608" s="114"/>
      <c r="S608" s="579"/>
      <c r="T608" s="211"/>
    </row>
    <row r="609" spans="1:20" s="124" customFormat="1" ht="40.5" customHeight="1" x14ac:dyDescent="0.35">
      <c r="A609" s="576"/>
      <c r="B609" s="600"/>
      <c r="C609" s="191"/>
      <c r="D609" s="183" t="s">
        <v>6</v>
      </c>
      <c r="E609" s="191"/>
      <c r="F609" s="184"/>
      <c r="G609" s="184"/>
      <c r="H609" s="187"/>
      <c r="I609" s="187">
        <f>(H607+H608)/2</f>
        <v>100</v>
      </c>
      <c r="J609" s="182"/>
      <c r="K609" s="183" t="s">
        <v>6</v>
      </c>
      <c r="L609" s="184"/>
      <c r="M609" s="188"/>
      <c r="N609" s="188"/>
      <c r="O609" s="187"/>
      <c r="P609" s="187">
        <f>O607</f>
        <v>100</v>
      </c>
      <c r="Q609" s="187">
        <f>(I609+P609)/2</f>
        <v>100</v>
      </c>
      <c r="R609" s="191" t="s">
        <v>31</v>
      </c>
      <c r="S609" s="579"/>
      <c r="T609" s="123"/>
    </row>
    <row r="610" spans="1:20" s="212" customFormat="1" ht="46.5" customHeight="1" x14ac:dyDescent="0.35">
      <c r="A610" s="576"/>
      <c r="B610" s="600"/>
      <c r="C610" s="502" t="s">
        <v>164</v>
      </c>
      <c r="D610" s="146" t="s">
        <v>211</v>
      </c>
      <c r="E610" s="114"/>
      <c r="F610" s="114"/>
      <c r="G610" s="114"/>
      <c r="H610" s="113"/>
      <c r="I610" s="113"/>
      <c r="J610" s="502" t="s">
        <v>164</v>
      </c>
      <c r="K610" s="146" t="str">
        <f>D610</f>
        <v>Реализация дополнительных общеразвивающих программ</v>
      </c>
      <c r="L610" s="114"/>
      <c r="M610" s="119"/>
      <c r="N610" s="119"/>
      <c r="O610" s="113"/>
      <c r="P610" s="127"/>
      <c r="Q610" s="113"/>
      <c r="R610" s="114"/>
      <c r="S610" s="579"/>
      <c r="T610" s="211"/>
    </row>
    <row r="611" spans="1:20" s="212" customFormat="1" ht="49.5" customHeight="1" x14ac:dyDescent="0.35">
      <c r="A611" s="576"/>
      <c r="B611" s="600"/>
      <c r="C611" s="114" t="s">
        <v>165</v>
      </c>
      <c r="D611" s="116" t="s">
        <v>138</v>
      </c>
      <c r="E611" s="114" t="s">
        <v>25</v>
      </c>
      <c r="F611" s="114">
        <v>90</v>
      </c>
      <c r="G611" s="114">
        <v>90</v>
      </c>
      <c r="H611" s="509">
        <f>IF(G611/F611*100&gt;100,100,G611/F611*100)</f>
        <v>100</v>
      </c>
      <c r="I611" s="114"/>
      <c r="J611" s="118" t="s">
        <v>165</v>
      </c>
      <c r="K611" s="116" t="s">
        <v>469</v>
      </c>
      <c r="L611" s="114" t="s">
        <v>337</v>
      </c>
      <c r="M611" s="114">
        <v>58752</v>
      </c>
      <c r="N611" s="114">
        <v>58257</v>
      </c>
      <c r="O611" s="115">
        <f>IF(N611/M611*100&gt;110,110,N611/M611*100)</f>
        <v>99.157475490196077</v>
      </c>
      <c r="P611" s="127"/>
      <c r="Q611" s="113"/>
      <c r="R611" s="114"/>
      <c r="S611" s="579"/>
      <c r="T611" s="211"/>
    </row>
    <row r="612" spans="1:20" s="124" customFormat="1" ht="40.5" customHeight="1" x14ac:dyDescent="0.35">
      <c r="A612" s="576"/>
      <c r="B612" s="600"/>
      <c r="C612" s="191"/>
      <c r="D612" s="183" t="s">
        <v>6</v>
      </c>
      <c r="E612" s="191"/>
      <c r="F612" s="184"/>
      <c r="G612" s="184"/>
      <c r="H612" s="187"/>
      <c r="I612" s="187">
        <f>H611</f>
        <v>100</v>
      </c>
      <c r="J612" s="182"/>
      <c r="K612" s="183" t="s">
        <v>6</v>
      </c>
      <c r="L612" s="184"/>
      <c r="M612" s="188"/>
      <c r="N612" s="188"/>
      <c r="O612" s="187"/>
      <c r="P612" s="187">
        <f>O611</f>
        <v>99.157475490196077</v>
      </c>
      <c r="Q612" s="187">
        <f>(I612+P612)/2</f>
        <v>99.578737745098039</v>
      </c>
      <c r="R612" s="191" t="s">
        <v>361</v>
      </c>
      <c r="S612" s="579"/>
      <c r="T612" s="123"/>
    </row>
    <row r="613" spans="1:20" s="212" customFormat="1" ht="73.5" customHeight="1" x14ac:dyDescent="0.35">
      <c r="A613" s="576">
        <v>46</v>
      </c>
      <c r="B613" s="600" t="s">
        <v>146</v>
      </c>
      <c r="C613" s="502" t="s">
        <v>12</v>
      </c>
      <c r="D613" s="146" t="s">
        <v>128</v>
      </c>
      <c r="E613" s="502"/>
      <c r="F613" s="502"/>
      <c r="G613" s="502"/>
      <c r="H613" s="113"/>
      <c r="I613" s="113"/>
      <c r="J613" s="502" t="s">
        <v>12</v>
      </c>
      <c r="K613" s="146" t="s">
        <v>128</v>
      </c>
      <c r="L613" s="114"/>
      <c r="M613" s="114"/>
      <c r="N613" s="114"/>
      <c r="O613" s="113"/>
      <c r="P613" s="127"/>
      <c r="Q613" s="113"/>
      <c r="R613" s="114"/>
      <c r="S613" s="579" t="s">
        <v>280</v>
      </c>
      <c r="T613" s="211"/>
    </row>
    <row r="614" spans="1:20" s="212" customFormat="1" ht="69" customHeight="1" x14ac:dyDescent="0.35">
      <c r="A614" s="576"/>
      <c r="B614" s="600"/>
      <c r="C614" s="114" t="s">
        <v>7</v>
      </c>
      <c r="D614" s="116" t="s">
        <v>129</v>
      </c>
      <c r="E614" s="114" t="s">
        <v>25</v>
      </c>
      <c r="F614" s="114">
        <v>100</v>
      </c>
      <c r="G614" s="114">
        <v>100</v>
      </c>
      <c r="H614" s="509">
        <f t="shared" ref="H614:H618" si="35">IF(G614/F614*100&gt;100,100,G614/F614*100)</f>
        <v>100</v>
      </c>
      <c r="I614" s="114"/>
      <c r="J614" s="114" t="s">
        <v>7</v>
      </c>
      <c r="K614" s="116" t="s">
        <v>89</v>
      </c>
      <c r="L614" s="114" t="s">
        <v>38</v>
      </c>
      <c r="M614" s="114">
        <v>232</v>
      </c>
      <c r="N614" s="114">
        <v>226</v>
      </c>
      <c r="O614" s="115">
        <f>IF(N614/M614*100&gt;110,110,N614/M614*100)</f>
        <v>97.41379310344827</v>
      </c>
      <c r="P614" s="127"/>
      <c r="Q614" s="113"/>
      <c r="R614" s="114"/>
      <c r="S614" s="579"/>
      <c r="T614" s="211"/>
    </row>
    <row r="615" spans="1:20" s="212" customFormat="1" ht="40.5" customHeight="1" x14ac:dyDescent="0.35">
      <c r="A615" s="576"/>
      <c r="B615" s="600"/>
      <c r="C615" s="114" t="s">
        <v>8</v>
      </c>
      <c r="D615" s="116" t="s">
        <v>561</v>
      </c>
      <c r="E615" s="114" t="s">
        <v>25</v>
      </c>
      <c r="F615" s="114">
        <v>100</v>
      </c>
      <c r="G615" s="114">
        <v>100</v>
      </c>
      <c r="H615" s="509">
        <f t="shared" si="35"/>
        <v>100</v>
      </c>
      <c r="I615" s="114"/>
      <c r="J615" s="114"/>
      <c r="K615" s="503"/>
      <c r="L615" s="114"/>
      <c r="M615" s="117"/>
      <c r="N615" s="117"/>
      <c r="O615" s="115"/>
      <c r="P615" s="127"/>
      <c r="Q615" s="113"/>
      <c r="R615" s="114"/>
      <c r="S615" s="579"/>
      <c r="T615" s="211"/>
    </row>
    <row r="616" spans="1:20" s="212" customFormat="1" ht="57.75" customHeight="1" x14ac:dyDescent="0.35">
      <c r="A616" s="576"/>
      <c r="B616" s="600"/>
      <c r="C616" s="114" t="s">
        <v>9</v>
      </c>
      <c r="D616" s="116" t="s">
        <v>468</v>
      </c>
      <c r="E616" s="114" t="s">
        <v>25</v>
      </c>
      <c r="F616" s="114">
        <v>100</v>
      </c>
      <c r="G616" s="114">
        <v>100</v>
      </c>
      <c r="H616" s="509">
        <f t="shared" si="35"/>
        <v>100</v>
      </c>
      <c r="I616" s="114"/>
      <c r="J616" s="118"/>
      <c r="K616" s="116"/>
      <c r="L616" s="114"/>
      <c r="M616" s="119"/>
      <c r="N616" s="119"/>
      <c r="O616" s="115"/>
      <c r="P616" s="127"/>
      <c r="Q616" s="113"/>
      <c r="R616" s="114"/>
      <c r="S616" s="579"/>
      <c r="T616" s="211"/>
    </row>
    <row r="617" spans="1:20" s="212" customFormat="1" ht="84" customHeight="1" x14ac:dyDescent="0.35">
      <c r="A617" s="576"/>
      <c r="B617" s="600"/>
      <c r="C617" s="114" t="s">
        <v>10</v>
      </c>
      <c r="D617" s="116" t="s">
        <v>88</v>
      </c>
      <c r="E617" s="114" t="s">
        <v>25</v>
      </c>
      <c r="F617" s="114">
        <v>90</v>
      </c>
      <c r="G617" s="114">
        <v>90</v>
      </c>
      <c r="H617" s="509">
        <f t="shared" si="35"/>
        <v>100</v>
      </c>
      <c r="I617" s="114"/>
      <c r="J617" s="118"/>
      <c r="K617" s="116"/>
      <c r="L617" s="114"/>
      <c r="M617" s="119"/>
      <c r="N617" s="119"/>
      <c r="O617" s="115"/>
      <c r="P617" s="127"/>
      <c r="Q617" s="113"/>
      <c r="R617" s="114"/>
      <c r="S617" s="579"/>
      <c r="T617" s="211"/>
    </row>
    <row r="618" spans="1:20" s="212" customFormat="1" ht="112.5" customHeight="1" x14ac:dyDescent="0.35">
      <c r="A618" s="576"/>
      <c r="B618" s="600"/>
      <c r="C618" s="114" t="s">
        <v>35</v>
      </c>
      <c r="D618" s="116" t="s">
        <v>130</v>
      </c>
      <c r="E618" s="114" t="s">
        <v>25</v>
      </c>
      <c r="F618" s="114">
        <v>100</v>
      </c>
      <c r="G618" s="114">
        <v>100</v>
      </c>
      <c r="H618" s="509">
        <f t="shared" si="35"/>
        <v>100</v>
      </c>
      <c r="I618" s="114"/>
      <c r="J618" s="118"/>
      <c r="K618" s="116"/>
      <c r="L618" s="114"/>
      <c r="M618" s="119"/>
      <c r="N618" s="119"/>
      <c r="O618" s="115"/>
      <c r="P618" s="127"/>
      <c r="Q618" s="113"/>
      <c r="R618" s="114"/>
      <c r="S618" s="579"/>
      <c r="T618" s="211"/>
    </row>
    <row r="619" spans="1:20" s="331" customFormat="1" ht="40.5" customHeight="1" x14ac:dyDescent="0.35">
      <c r="A619" s="576"/>
      <c r="B619" s="600"/>
      <c r="C619" s="191"/>
      <c r="D619" s="183" t="s">
        <v>6</v>
      </c>
      <c r="E619" s="191"/>
      <c r="F619" s="184"/>
      <c r="G619" s="184"/>
      <c r="H619" s="187"/>
      <c r="I619" s="187">
        <f>(H614+H615+H616+H617+H618)/5</f>
        <v>100</v>
      </c>
      <c r="J619" s="182"/>
      <c r="K619" s="183" t="s">
        <v>6</v>
      </c>
      <c r="L619" s="184"/>
      <c r="M619" s="188"/>
      <c r="N619" s="188"/>
      <c r="O619" s="187"/>
      <c r="P619" s="187">
        <f>O614</f>
        <v>97.41379310344827</v>
      </c>
      <c r="Q619" s="187">
        <f>(I619+P619)/2</f>
        <v>98.706896551724128</v>
      </c>
      <c r="R619" s="191" t="s">
        <v>361</v>
      </c>
      <c r="S619" s="579"/>
      <c r="T619" s="330"/>
    </row>
    <row r="620" spans="1:20" s="212" customFormat="1" ht="73.5" customHeight="1" x14ac:dyDescent="0.35">
      <c r="A620" s="576"/>
      <c r="B620" s="600"/>
      <c r="C620" s="502" t="s">
        <v>13</v>
      </c>
      <c r="D620" s="146" t="s">
        <v>131</v>
      </c>
      <c r="E620" s="114"/>
      <c r="F620" s="114"/>
      <c r="G620" s="114"/>
      <c r="H620" s="113"/>
      <c r="I620" s="113"/>
      <c r="J620" s="502" t="s">
        <v>13</v>
      </c>
      <c r="K620" s="146" t="s">
        <v>131</v>
      </c>
      <c r="L620" s="114"/>
      <c r="M620" s="119"/>
      <c r="N620" s="119"/>
      <c r="O620" s="113"/>
      <c r="P620" s="127"/>
      <c r="Q620" s="113"/>
      <c r="R620" s="114"/>
      <c r="S620" s="579"/>
      <c r="T620" s="211"/>
    </row>
    <row r="621" spans="1:20" s="212" customFormat="1" ht="73.5" customHeight="1" x14ac:dyDescent="0.35">
      <c r="A621" s="576"/>
      <c r="B621" s="600"/>
      <c r="C621" s="114" t="s">
        <v>14</v>
      </c>
      <c r="D621" s="116" t="s">
        <v>132</v>
      </c>
      <c r="E621" s="114" t="s">
        <v>25</v>
      </c>
      <c r="F621" s="114">
        <v>100</v>
      </c>
      <c r="G621" s="114">
        <v>100</v>
      </c>
      <c r="H621" s="509">
        <f t="shared" ref="H621:H625" si="36">IF(G621/F621*100&gt;100,100,G621/F621*100)</f>
        <v>100</v>
      </c>
      <c r="I621" s="114"/>
      <c r="J621" s="118" t="s">
        <v>14</v>
      </c>
      <c r="K621" s="116" t="s">
        <v>89</v>
      </c>
      <c r="L621" s="114" t="s">
        <v>38</v>
      </c>
      <c r="M621" s="114">
        <v>296</v>
      </c>
      <c r="N621" s="114">
        <v>296</v>
      </c>
      <c r="O621" s="115">
        <f>IF(N621/M621*100&gt;110,110,N621/M621*100)</f>
        <v>100</v>
      </c>
      <c r="P621" s="114"/>
      <c r="Q621" s="113"/>
      <c r="R621" s="114"/>
      <c r="S621" s="579"/>
      <c r="T621" s="211"/>
    </row>
    <row r="622" spans="1:20" s="212" customFormat="1" ht="57" customHeight="1" x14ac:dyDescent="0.35">
      <c r="A622" s="576"/>
      <c r="B622" s="600"/>
      <c r="C622" s="114" t="s">
        <v>15</v>
      </c>
      <c r="D622" s="116" t="s">
        <v>559</v>
      </c>
      <c r="E622" s="114" t="s">
        <v>25</v>
      </c>
      <c r="F622" s="114">
        <v>100</v>
      </c>
      <c r="G622" s="114">
        <v>100</v>
      </c>
      <c r="H622" s="509">
        <f t="shared" si="36"/>
        <v>100</v>
      </c>
      <c r="I622" s="114"/>
      <c r="J622" s="118"/>
      <c r="K622" s="116"/>
      <c r="L622" s="114"/>
      <c r="M622" s="119"/>
      <c r="N622" s="119"/>
      <c r="O622" s="115"/>
      <c r="P622" s="127"/>
      <c r="Q622" s="113"/>
      <c r="R622" s="114"/>
      <c r="S622" s="579"/>
      <c r="T622" s="211"/>
    </row>
    <row r="623" spans="1:20" s="212" customFormat="1" ht="59.25" customHeight="1" x14ac:dyDescent="0.35">
      <c r="A623" s="576"/>
      <c r="B623" s="600"/>
      <c r="C623" s="114" t="s">
        <v>39</v>
      </c>
      <c r="D623" s="116" t="s">
        <v>468</v>
      </c>
      <c r="E623" s="114" t="s">
        <v>25</v>
      </c>
      <c r="F623" s="114">
        <v>100</v>
      </c>
      <c r="G623" s="114">
        <v>100</v>
      </c>
      <c r="H623" s="509">
        <f t="shared" si="36"/>
        <v>100</v>
      </c>
      <c r="I623" s="114"/>
      <c r="J623" s="118"/>
      <c r="K623" s="116"/>
      <c r="L623" s="114"/>
      <c r="M623" s="119"/>
      <c r="N623" s="119"/>
      <c r="O623" s="115"/>
      <c r="P623" s="127"/>
      <c r="Q623" s="113"/>
      <c r="R623" s="114"/>
      <c r="S623" s="579"/>
      <c r="T623" s="211"/>
    </row>
    <row r="624" spans="1:20" s="212" customFormat="1" ht="73.5" customHeight="1" x14ac:dyDescent="0.35">
      <c r="A624" s="576"/>
      <c r="B624" s="600"/>
      <c r="C624" s="114" t="s">
        <v>45</v>
      </c>
      <c r="D624" s="116" t="s">
        <v>88</v>
      </c>
      <c r="E624" s="114" t="s">
        <v>25</v>
      </c>
      <c r="F624" s="114">
        <v>90</v>
      </c>
      <c r="G624" s="114">
        <v>90</v>
      </c>
      <c r="H624" s="509">
        <f t="shared" si="36"/>
        <v>100</v>
      </c>
      <c r="I624" s="114"/>
      <c r="J624" s="118"/>
      <c r="K624" s="116"/>
      <c r="L624" s="114"/>
      <c r="M624" s="119"/>
      <c r="N624" s="119"/>
      <c r="O624" s="115"/>
      <c r="P624" s="127"/>
      <c r="Q624" s="113"/>
      <c r="R624" s="114"/>
      <c r="S624" s="579"/>
      <c r="T624" s="211"/>
    </row>
    <row r="625" spans="1:20" s="212" customFormat="1" ht="108.75" customHeight="1" x14ac:dyDescent="0.35">
      <c r="A625" s="576"/>
      <c r="B625" s="600"/>
      <c r="C625" s="114" t="s">
        <v>66</v>
      </c>
      <c r="D625" s="116" t="s">
        <v>130</v>
      </c>
      <c r="E625" s="114" t="s">
        <v>25</v>
      </c>
      <c r="F625" s="114">
        <v>100</v>
      </c>
      <c r="G625" s="114">
        <v>100</v>
      </c>
      <c r="H625" s="509">
        <f t="shared" si="36"/>
        <v>100</v>
      </c>
      <c r="I625" s="114"/>
      <c r="J625" s="118"/>
      <c r="K625" s="116"/>
      <c r="L625" s="114"/>
      <c r="M625" s="119"/>
      <c r="N625" s="119"/>
      <c r="O625" s="115"/>
      <c r="P625" s="127"/>
      <c r="Q625" s="113"/>
      <c r="R625" s="114"/>
      <c r="S625" s="579"/>
      <c r="T625" s="211"/>
    </row>
    <row r="626" spans="1:20" s="331" customFormat="1" ht="40.5" customHeight="1" x14ac:dyDescent="0.35">
      <c r="A626" s="576"/>
      <c r="B626" s="600"/>
      <c r="C626" s="191"/>
      <c r="D626" s="183" t="s">
        <v>6</v>
      </c>
      <c r="E626" s="191"/>
      <c r="F626" s="184"/>
      <c r="G626" s="184"/>
      <c r="H626" s="187"/>
      <c r="I626" s="187">
        <f>(H621+H622+H623+H624+H625)/5</f>
        <v>100</v>
      </c>
      <c r="J626" s="182"/>
      <c r="K626" s="183" t="s">
        <v>6</v>
      </c>
      <c r="L626" s="184"/>
      <c r="M626" s="188"/>
      <c r="N626" s="188"/>
      <c r="O626" s="187"/>
      <c r="P626" s="187">
        <f>O621</f>
        <v>100</v>
      </c>
      <c r="Q626" s="187">
        <f>(I626+P626)/2</f>
        <v>100</v>
      </c>
      <c r="R626" s="191" t="s">
        <v>31</v>
      </c>
      <c r="S626" s="579"/>
      <c r="T626" s="330"/>
    </row>
    <row r="627" spans="1:20" s="212" customFormat="1" ht="73.5" customHeight="1" x14ac:dyDescent="0.35">
      <c r="A627" s="576"/>
      <c r="B627" s="600"/>
      <c r="C627" s="502" t="s">
        <v>28</v>
      </c>
      <c r="D627" s="146" t="s">
        <v>133</v>
      </c>
      <c r="E627" s="114"/>
      <c r="F627" s="114"/>
      <c r="G627" s="114"/>
      <c r="H627" s="113"/>
      <c r="I627" s="113"/>
      <c r="J627" s="502" t="s">
        <v>28</v>
      </c>
      <c r="K627" s="146" t="str">
        <f>D627</f>
        <v>Реализация основных общеобразовательных программ среднего общего образования</v>
      </c>
      <c r="L627" s="114"/>
      <c r="M627" s="119"/>
      <c r="N627" s="119"/>
      <c r="O627" s="113"/>
      <c r="P627" s="127"/>
      <c r="Q627" s="113"/>
      <c r="R627" s="114"/>
      <c r="S627" s="579"/>
      <c r="T627" s="211"/>
    </row>
    <row r="628" spans="1:20" s="212" customFormat="1" ht="73.5" customHeight="1" x14ac:dyDescent="0.35">
      <c r="A628" s="576"/>
      <c r="B628" s="600"/>
      <c r="C628" s="114" t="s">
        <v>29</v>
      </c>
      <c r="D628" s="116" t="s">
        <v>134</v>
      </c>
      <c r="E628" s="114" t="s">
        <v>25</v>
      </c>
      <c r="F628" s="114">
        <v>100</v>
      </c>
      <c r="G628" s="114">
        <v>100</v>
      </c>
      <c r="H628" s="509">
        <f t="shared" ref="H628:H632" si="37">IF(G628/F628*100&gt;100,100,G628/F628*100)</f>
        <v>100</v>
      </c>
      <c r="I628" s="114"/>
      <c r="J628" s="118" t="s">
        <v>29</v>
      </c>
      <c r="K628" s="116" t="s">
        <v>89</v>
      </c>
      <c r="L628" s="114" t="s">
        <v>38</v>
      </c>
      <c r="M628" s="114">
        <v>68</v>
      </c>
      <c r="N628" s="114">
        <v>68</v>
      </c>
      <c r="O628" s="115">
        <f>IF(N628/M628*100&gt;110,110,N628/M628*100)</f>
        <v>100</v>
      </c>
      <c r="P628" s="114"/>
      <c r="Q628" s="113"/>
      <c r="R628" s="114"/>
      <c r="S628" s="579"/>
      <c r="T628" s="211"/>
    </row>
    <row r="629" spans="1:20" s="212" customFormat="1" ht="51" customHeight="1" x14ac:dyDescent="0.35">
      <c r="A629" s="576"/>
      <c r="B629" s="600"/>
      <c r="C629" s="114" t="s">
        <v>30</v>
      </c>
      <c r="D629" s="116" t="s">
        <v>560</v>
      </c>
      <c r="E629" s="114" t="s">
        <v>25</v>
      </c>
      <c r="F629" s="114">
        <v>100</v>
      </c>
      <c r="G629" s="114">
        <v>100</v>
      </c>
      <c r="H629" s="509">
        <f t="shared" si="37"/>
        <v>100</v>
      </c>
      <c r="I629" s="114"/>
      <c r="J629" s="118"/>
      <c r="K629" s="116"/>
      <c r="L629" s="114"/>
      <c r="M629" s="119"/>
      <c r="N629" s="119"/>
      <c r="O629" s="115"/>
      <c r="P629" s="127"/>
      <c r="Q629" s="113"/>
      <c r="R629" s="114"/>
      <c r="S629" s="579"/>
      <c r="T629" s="211"/>
    </row>
    <row r="630" spans="1:20" s="212" customFormat="1" ht="63" customHeight="1" x14ac:dyDescent="0.35">
      <c r="A630" s="576"/>
      <c r="B630" s="600"/>
      <c r="C630" s="114" t="s">
        <v>52</v>
      </c>
      <c r="D630" s="116" t="s">
        <v>468</v>
      </c>
      <c r="E630" s="114" t="s">
        <v>25</v>
      </c>
      <c r="F630" s="114">
        <v>100</v>
      </c>
      <c r="G630" s="114">
        <v>100</v>
      </c>
      <c r="H630" s="509">
        <f t="shared" si="37"/>
        <v>100</v>
      </c>
      <c r="I630" s="114"/>
      <c r="J630" s="118"/>
      <c r="K630" s="116"/>
      <c r="L630" s="114"/>
      <c r="M630" s="119"/>
      <c r="N630" s="119"/>
      <c r="O630" s="115"/>
      <c r="P630" s="127"/>
      <c r="Q630" s="113"/>
      <c r="R630" s="114"/>
      <c r="S630" s="579"/>
      <c r="T630" s="211"/>
    </row>
    <row r="631" spans="1:20" s="212" customFormat="1" ht="73.5" customHeight="1" x14ac:dyDescent="0.35">
      <c r="A631" s="576"/>
      <c r="B631" s="600"/>
      <c r="C631" s="114" t="s">
        <v>53</v>
      </c>
      <c r="D631" s="116" t="s">
        <v>88</v>
      </c>
      <c r="E631" s="114" t="s">
        <v>25</v>
      </c>
      <c r="F631" s="114">
        <v>90</v>
      </c>
      <c r="G631" s="114">
        <v>90</v>
      </c>
      <c r="H631" s="509">
        <f t="shared" si="37"/>
        <v>100</v>
      </c>
      <c r="I631" s="114"/>
      <c r="J631" s="118"/>
      <c r="K631" s="116"/>
      <c r="L631" s="114"/>
      <c r="M631" s="119"/>
      <c r="N631" s="119"/>
      <c r="O631" s="115"/>
      <c r="P631" s="127"/>
      <c r="Q631" s="113"/>
      <c r="R631" s="114"/>
      <c r="S631" s="579"/>
      <c r="T631" s="211"/>
    </row>
    <row r="632" spans="1:20" s="212" customFormat="1" ht="116.25" customHeight="1" x14ac:dyDescent="0.35">
      <c r="A632" s="576"/>
      <c r="B632" s="600"/>
      <c r="C632" s="114" t="s">
        <v>135</v>
      </c>
      <c r="D632" s="116" t="s">
        <v>130</v>
      </c>
      <c r="E632" s="114" t="s">
        <v>25</v>
      </c>
      <c r="F632" s="114">
        <v>100</v>
      </c>
      <c r="G632" s="114">
        <v>100</v>
      </c>
      <c r="H632" s="509">
        <f t="shared" si="37"/>
        <v>100</v>
      </c>
      <c r="I632" s="114"/>
      <c r="J632" s="118"/>
      <c r="K632" s="116"/>
      <c r="L632" s="114"/>
      <c r="M632" s="119"/>
      <c r="N632" s="119"/>
      <c r="O632" s="115"/>
      <c r="P632" s="127"/>
      <c r="Q632" s="113"/>
      <c r="R632" s="114"/>
      <c r="S632" s="579"/>
      <c r="T632" s="211"/>
    </row>
    <row r="633" spans="1:20" s="331" customFormat="1" ht="40.5" customHeight="1" x14ac:dyDescent="0.35">
      <c r="A633" s="576"/>
      <c r="B633" s="600"/>
      <c r="C633" s="191"/>
      <c r="D633" s="183" t="s">
        <v>6</v>
      </c>
      <c r="E633" s="191"/>
      <c r="F633" s="184"/>
      <c r="G633" s="184"/>
      <c r="H633" s="187"/>
      <c r="I633" s="187">
        <f>(H628+H629+H630+H631+H632)/5</f>
        <v>100</v>
      </c>
      <c r="J633" s="182"/>
      <c r="K633" s="183" t="s">
        <v>6</v>
      </c>
      <c r="L633" s="184"/>
      <c r="M633" s="188"/>
      <c r="N633" s="188"/>
      <c r="O633" s="187"/>
      <c r="P633" s="187">
        <f>O628</f>
        <v>100</v>
      </c>
      <c r="Q633" s="187">
        <f>(I633+P633)/2</f>
        <v>100</v>
      </c>
      <c r="R633" s="191" t="s">
        <v>31</v>
      </c>
      <c r="S633" s="579"/>
      <c r="T633" s="330"/>
    </row>
    <row r="634" spans="1:20" s="212" customFormat="1" ht="51" customHeight="1" x14ac:dyDescent="0.35">
      <c r="A634" s="576"/>
      <c r="B634" s="600"/>
      <c r="C634" s="502" t="s">
        <v>42</v>
      </c>
      <c r="D634" s="146" t="s">
        <v>90</v>
      </c>
      <c r="E634" s="114"/>
      <c r="F634" s="114"/>
      <c r="G634" s="114"/>
      <c r="H634" s="113"/>
      <c r="I634" s="113"/>
      <c r="J634" s="502" t="s">
        <v>42</v>
      </c>
      <c r="K634" s="146" t="s">
        <v>90</v>
      </c>
      <c r="L634" s="114"/>
      <c r="M634" s="119"/>
      <c r="N634" s="119"/>
      <c r="O634" s="113"/>
      <c r="P634" s="127"/>
      <c r="Q634" s="113"/>
      <c r="R634" s="114"/>
      <c r="S634" s="579"/>
      <c r="T634" s="211"/>
    </row>
    <row r="635" spans="1:20" s="212" customFormat="1" ht="55.5" customHeight="1" x14ac:dyDescent="0.35">
      <c r="A635" s="576"/>
      <c r="B635" s="600"/>
      <c r="C635" s="114" t="s">
        <v>43</v>
      </c>
      <c r="D635" s="116" t="s">
        <v>136</v>
      </c>
      <c r="E635" s="114" t="s">
        <v>25</v>
      </c>
      <c r="F635" s="114">
        <v>100</v>
      </c>
      <c r="G635" s="114">
        <v>100</v>
      </c>
      <c r="H635" s="509">
        <f t="shared" ref="H635:H636" si="38">IF(G635/F635*100&gt;100,100,G635/F635*100)</f>
        <v>100</v>
      </c>
      <c r="I635" s="114"/>
      <c r="J635" s="118" t="s">
        <v>43</v>
      </c>
      <c r="K635" s="116" t="s">
        <v>89</v>
      </c>
      <c r="L635" s="114" t="s">
        <v>38</v>
      </c>
      <c r="M635" s="114">
        <v>131</v>
      </c>
      <c r="N635" s="114">
        <v>131</v>
      </c>
      <c r="O635" s="115">
        <f>IF(N635/M635*100&gt;110,110,N635/M635*100)</f>
        <v>100</v>
      </c>
      <c r="P635" s="127"/>
      <c r="Q635" s="113"/>
      <c r="R635" s="114"/>
      <c r="S635" s="579"/>
      <c r="T635" s="211"/>
    </row>
    <row r="636" spans="1:20" s="212" customFormat="1" ht="73.5" customHeight="1" x14ac:dyDescent="0.35">
      <c r="A636" s="576"/>
      <c r="B636" s="600"/>
      <c r="C636" s="114" t="s">
        <v>137</v>
      </c>
      <c r="D636" s="116" t="s">
        <v>138</v>
      </c>
      <c r="E636" s="114" t="s">
        <v>25</v>
      </c>
      <c r="F636" s="114">
        <v>90</v>
      </c>
      <c r="G636" s="114">
        <v>90</v>
      </c>
      <c r="H636" s="509">
        <f t="shared" si="38"/>
        <v>100</v>
      </c>
      <c r="I636" s="114"/>
      <c r="J636" s="118"/>
      <c r="K636" s="116"/>
      <c r="L636" s="114"/>
      <c r="M636" s="119"/>
      <c r="N636" s="119"/>
      <c r="O636" s="115"/>
      <c r="P636" s="127"/>
      <c r="Q636" s="113"/>
      <c r="R636" s="114"/>
      <c r="S636" s="579"/>
      <c r="T636" s="211"/>
    </row>
    <row r="637" spans="1:20" s="331" customFormat="1" ht="40.5" customHeight="1" x14ac:dyDescent="0.35">
      <c r="A637" s="576"/>
      <c r="B637" s="600"/>
      <c r="C637" s="191"/>
      <c r="D637" s="183" t="s">
        <v>6</v>
      </c>
      <c r="E637" s="191"/>
      <c r="F637" s="184"/>
      <c r="G637" s="184"/>
      <c r="H637" s="187"/>
      <c r="I637" s="187">
        <f>(H635+H636)/2</f>
        <v>100</v>
      </c>
      <c r="J637" s="182"/>
      <c r="K637" s="183" t="s">
        <v>6</v>
      </c>
      <c r="L637" s="184"/>
      <c r="M637" s="188"/>
      <c r="N637" s="188"/>
      <c r="O637" s="187"/>
      <c r="P637" s="187">
        <f>O635</f>
        <v>100</v>
      </c>
      <c r="Q637" s="187">
        <f>(I637+P637)/2</f>
        <v>100</v>
      </c>
      <c r="R637" s="191" t="s">
        <v>31</v>
      </c>
      <c r="S637" s="579"/>
      <c r="T637" s="330"/>
    </row>
    <row r="638" spans="1:20" s="212" customFormat="1" ht="54" customHeight="1" x14ac:dyDescent="0.35">
      <c r="A638" s="576"/>
      <c r="B638" s="600"/>
      <c r="C638" s="502" t="s">
        <v>164</v>
      </c>
      <c r="D638" s="146" t="s">
        <v>211</v>
      </c>
      <c r="E638" s="114"/>
      <c r="F638" s="114"/>
      <c r="G638" s="114"/>
      <c r="H638" s="113"/>
      <c r="I638" s="113"/>
      <c r="J638" s="502" t="s">
        <v>164</v>
      </c>
      <c r="K638" s="146" t="str">
        <f>D638</f>
        <v>Реализация дополнительных общеразвивающих программ</v>
      </c>
      <c r="L638" s="114"/>
      <c r="M638" s="119"/>
      <c r="N638" s="119"/>
      <c r="O638" s="113"/>
      <c r="P638" s="127"/>
      <c r="Q638" s="113"/>
      <c r="R638" s="502"/>
      <c r="S638" s="579"/>
      <c r="T638" s="211"/>
    </row>
    <row r="639" spans="1:20" s="212" customFormat="1" ht="106.5" customHeight="1" x14ac:dyDescent="0.35">
      <c r="A639" s="576"/>
      <c r="B639" s="600"/>
      <c r="C639" s="114" t="s">
        <v>165</v>
      </c>
      <c r="D639" s="116" t="s">
        <v>138</v>
      </c>
      <c r="E639" s="114" t="s">
        <v>25</v>
      </c>
      <c r="F639" s="114">
        <v>90</v>
      </c>
      <c r="G639" s="114">
        <v>90</v>
      </c>
      <c r="H639" s="509">
        <f>IF(G639/F639*100&gt;100,100,G639/F639*100)</f>
        <v>100</v>
      </c>
      <c r="I639" s="114"/>
      <c r="J639" s="118" t="s">
        <v>165</v>
      </c>
      <c r="K639" s="116" t="s">
        <v>469</v>
      </c>
      <c r="L639" s="114" t="s">
        <v>339</v>
      </c>
      <c r="M639" s="114">
        <v>55000</v>
      </c>
      <c r="N639" s="114">
        <v>52877</v>
      </c>
      <c r="O639" s="115">
        <f>IF(N639/M639*100&gt;110,110,N639/M639*100)</f>
        <v>96.14</v>
      </c>
      <c r="P639" s="127"/>
      <c r="Q639" s="113"/>
      <c r="R639" s="114"/>
      <c r="S639" s="579"/>
      <c r="T639" s="211"/>
    </row>
    <row r="640" spans="1:20" s="331" customFormat="1" ht="54" customHeight="1" x14ac:dyDescent="0.35">
      <c r="A640" s="576"/>
      <c r="B640" s="600"/>
      <c r="C640" s="191"/>
      <c r="D640" s="183" t="s">
        <v>6</v>
      </c>
      <c r="E640" s="191"/>
      <c r="F640" s="184"/>
      <c r="G640" s="184"/>
      <c r="H640" s="187"/>
      <c r="I640" s="187">
        <f>H639</f>
        <v>100</v>
      </c>
      <c r="J640" s="182"/>
      <c r="K640" s="183" t="s">
        <v>6</v>
      </c>
      <c r="L640" s="184"/>
      <c r="M640" s="188"/>
      <c r="N640" s="188"/>
      <c r="O640" s="187"/>
      <c r="P640" s="187">
        <f>O639</f>
        <v>96.14</v>
      </c>
      <c r="Q640" s="187">
        <f>(I640+P640)/2</f>
        <v>98.07</v>
      </c>
      <c r="R640" s="191" t="s">
        <v>361</v>
      </c>
      <c r="S640" s="579"/>
      <c r="T640" s="330"/>
    </row>
    <row r="641" spans="1:20" s="212" customFormat="1" ht="88.5" customHeight="1" x14ac:dyDescent="0.35">
      <c r="A641" s="576"/>
      <c r="B641" s="600"/>
      <c r="C641" s="502" t="s">
        <v>170</v>
      </c>
      <c r="D641" s="146" t="s">
        <v>470</v>
      </c>
      <c r="E641" s="114"/>
      <c r="F641" s="114"/>
      <c r="G641" s="114"/>
      <c r="H641" s="113"/>
      <c r="I641" s="113"/>
      <c r="J641" s="502" t="s">
        <v>170</v>
      </c>
      <c r="K641" s="146" t="str">
        <f>D641</f>
        <v>Научно-методическое и ресурсное обеспечение системы образования</v>
      </c>
      <c r="L641" s="114"/>
      <c r="M641" s="114"/>
      <c r="N641" s="113"/>
      <c r="O641" s="113"/>
      <c r="P641" s="127"/>
      <c r="Q641" s="113"/>
      <c r="R641" s="114"/>
      <c r="S641" s="579"/>
      <c r="T641" s="211"/>
    </row>
    <row r="642" spans="1:20" s="212" customFormat="1" ht="108" customHeight="1" x14ac:dyDescent="0.35">
      <c r="A642" s="576"/>
      <c r="B642" s="600"/>
      <c r="C642" s="114" t="s">
        <v>171</v>
      </c>
      <c r="D642" s="116" t="s">
        <v>456</v>
      </c>
      <c r="E642" s="114" t="s">
        <v>25</v>
      </c>
      <c r="F642" s="114">
        <v>90</v>
      </c>
      <c r="G642" s="114">
        <v>90</v>
      </c>
      <c r="H642" s="509">
        <f>IF(G642/F642*100&gt;100,100,G642/F642*100)</f>
        <v>100</v>
      </c>
      <c r="I642" s="114"/>
      <c r="J642" s="118" t="s">
        <v>171</v>
      </c>
      <c r="K642" s="116" t="s">
        <v>326</v>
      </c>
      <c r="L642" s="114" t="s">
        <v>260</v>
      </c>
      <c r="M642" s="114">
        <v>3</v>
      </c>
      <c r="N642" s="114">
        <v>3</v>
      </c>
      <c r="O642" s="115">
        <f>IF(N642/M642*100&gt;110,110,N642/M642*100)</f>
        <v>100</v>
      </c>
      <c r="P642" s="127"/>
      <c r="Q642" s="113"/>
      <c r="R642" s="114"/>
      <c r="S642" s="579"/>
      <c r="T642" s="211"/>
    </row>
    <row r="643" spans="1:20" s="331" customFormat="1" ht="42" customHeight="1" x14ac:dyDescent="0.35">
      <c r="A643" s="576"/>
      <c r="B643" s="600"/>
      <c r="C643" s="191"/>
      <c r="D643" s="183" t="s">
        <v>6</v>
      </c>
      <c r="E643" s="191"/>
      <c r="F643" s="184"/>
      <c r="G643" s="184"/>
      <c r="H643" s="187"/>
      <c r="I643" s="187">
        <f>H642</f>
        <v>100</v>
      </c>
      <c r="J643" s="182"/>
      <c r="K643" s="183" t="s">
        <v>6</v>
      </c>
      <c r="L643" s="184"/>
      <c r="M643" s="188"/>
      <c r="N643" s="188"/>
      <c r="O643" s="187"/>
      <c r="P643" s="187">
        <f>O642</f>
        <v>100</v>
      </c>
      <c r="Q643" s="187">
        <f>(I643+P643)/2</f>
        <v>100</v>
      </c>
      <c r="R643" s="191" t="s">
        <v>31</v>
      </c>
      <c r="S643" s="579"/>
      <c r="T643" s="330"/>
    </row>
    <row r="644" spans="1:20" s="212" customFormat="1" ht="59.25" customHeight="1" x14ac:dyDescent="0.35">
      <c r="A644" s="576">
        <v>47</v>
      </c>
      <c r="B644" s="600" t="s">
        <v>147</v>
      </c>
      <c r="C644" s="502" t="s">
        <v>12</v>
      </c>
      <c r="D644" s="146" t="s">
        <v>128</v>
      </c>
      <c r="E644" s="502"/>
      <c r="F644" s="502"/>
      <c r="G644" s="502"/>
      <c r="H644" s="113"/>
      <c r="I644" s="113"/>
      <c r="J644" s="502" t="s">
        <v>12</v>
      </c>
      <c r="K644" s="146" t="s">
        <v>128</v>
      </c>
      <c r="L644" s="114"/>
      <c r="M644" s="114"/>
      <c r="N644" s="114"/>
      <c r="O644" s="113"/>
      <c r="P644" s="127"/>
      <c r="Q644" s="113"/>
      <c r="R644" s="114"/>
      <c r="S644" s="579" t="s">
        <v>279</v>
      </c>
      <c r="T644" s="211"/>
    </row>
    <row r="645" spans="1:20" s="212" customFormat="1" ht="55.5" customHeight="1" x14ac:dyDescent="0.35">
      <c r="A645" s="576"/>
      <c r="B645" s="600"/>
      <c r="C645" s="114" t="s">
        <v>7</v>
      </c>
      <c r="D645" s="116" t="s">
        <v>129</v>
      </c>
      <c r="E645" s="114" t="s">
        <v>25</v>
      </c>
      <c r="F645" s="114">
        <v>100</v>
      </c>
      <c r="G645" s="114">
        <v>100</v>
      </c>
      <c r="H645" s="509">
        <f t="shared" ref="H645:H649" si="39">IF(G645/F645*100&gt;100,100,G645/F645*100)</f>
        <v>100</v>
      </c>
      <c r="I645" s="114"/>
      <c r="J645" s="114" t="s">
        <v>7</v>
      </c>
      <c r="K645" s="116" t="s">
        <v>89</v>
      </c>
      <c r="L645" s="114" t="s">
        <v>38</v>
      </c>
      <c r="M645" s="114">
        <v>188</v>
      </c>
      <c r="N645" s="114">
        <v>188</v>
      </c>
      <c r="O645" s="115">
        <f>IF(N645/M645*100&gt;110,110,N645/M645*100)</f>
        <v>100</v>
      </c>
      <c r="P645" s="127"/>
      <c r="Q645" s="113"/>
      <c r="R645" s="114"/>
      <c r="S645" s="579"/>
      <c r="T645" s="211"/>
    </row>
    <row r="646" spans="1:20" s="212" customFormat="1" ht="45" customHeight="1" x14ac:dyDescent="0.35">
      <c r="A646" s="576"/>
      <c r="B646" s="600"/>
      <c r="C646" s="114" t="s">
        <v>8</v>
      </c>
      <c r="D646" s="116" t="s">
        <v>561</v>
      </c>
      <c r="E646" s="114" t="s">
        <v>25</v>
      </c>
      <c r="F646" s="114">
        <v>100</v>
      </c>
      <c r="G646" s="114">
        <v>100</v>
      </c>
      <c r="H646" s="509">
        <f t="shared" si="39"/>
        <v>100</v>
      </c>
      <c r="I646" s="114"/>
      <c r="J646" s="114"/>
      <c r="K646" s="503"/>
      <c r="L646" s="114"/>
      <c r="M646" s="117"/>
      <c r="N646" s="117"/>
      <c r="O646" s="115"/>
      <c r="P646" s="127"/>
      <c r="Q646" s="113"/>
      <c r="R646" s="114"/>
      <c r="S646" s="579"/>
      <c r="T646" s="211"/>
    </row>
    <row r="647" spans="1:20" s="212" customFormat="1" ht="43.5" customHeight="1" x14ac:dyDescent="0.35">
      <c r="A647" s="576"/>
      <c r="B647" s="600"/>
      <c r="C647" s="114" t="s">
        <v>9</v>
      </c>
      <c r="D647" s="116" t="s">
        <v>468</v>
      </c>
      <c r="E647" s="114" t="s">
        <v>25</v>
      </c>
      <c r="F647" s="114">
        <v>100</v>
      </c>
      <c r="G647" s="114">
        <v>100</v>
      </c>
      <c r="H647" s="509">
        <f t="shared" si="39"/>
        <v>100</v>
      </c>
      <c r="I647" s="114"/>
      <c r="J647" s="118"/>
      <c r="K647" s="116"/>
      <c r="L647" s="114"/>
      <c r="M647" s="119"/>
      <c r="N647" s="119"/>
      <c r="O647" s="115"/>
      <c r="P647" s="127"/>
      <c r="Q647" s="113"/>
      <c r="R647" s="114"/>
      <c r="S647" s="579"/>
      <c r="T647" s="211"/>
    </row>
    <row r="648" spans="1:20" s="212" customFormat="1" ht="55.5" customHeight="1" x14ac:dyDescent="0.35">
      <c r="A648" s="576"/>
      <c r="B648" s="600"/>
      <c r="C648" s="114" t="s">
        <v>10</v>
      </c>
      <c r="D648" s="116" t="s">
        <v>88</v>
      </c>
      <c r="E648" s="114" t="s">
        <v>25</v>
      </c>
      <c r="F648" s="114">
        <v>90</v>
      </c>
      <c r="G648" s="114">
        <v>90</v>
      </c>
      <c r="H648" s="509">
        <f t="shared" si="39"/>
        <v>100</v>
      </c>
      <c r="I648" s="114"/>
      <c r="J648" s="118"/>
      <c r="K648" s="116"/>
      <c r="L648" s="114"/>
      <c r="M648" s="119"/>
      <c r="N648" s="119"/>
      <c r="O648" s="115"/>
      <c r="P648" s="127"/>
      <c r="Q648" s="113"/>
      <c r="R648" s="114"/>
      <c r="S648" s="579"/>
      <c r="T648" s="211"/>
    </row>
    <row r="649" spans="1:20" s="212" customFormat="1" ht="107.25" customHeight="1" x14ac:dyDescent="0.35">
      <c r="A649" s="576"/>
      <c r="B649" s="600"/>
      <c r="C649" s="114" t="s">
        <v>35</v>
      </c>
      <c r="D649" s="116" t="s">
        <v>130</v>
      </c>
      <c r="E649" s="114" t="s">
        <v>25</v>
      </c>
      <c r="F649" s="114">
        <v>100</v>
      </c>
      <c r="G649" s="114">
        <v>100</v>
      </c>
      <c r="H649" s="509">
        <f t="shared" si="39"/>
        <v>100</v>
      </c>
      <c r="I649" s="114"/>
      <c r="J649" s="118"/>
      <c r="K649" s="116"/>
      <c r="L649" s="114"/>
      <c r="M649" s="119"/>
      <c r="N649" s="119"/>
      <c r="O649" s="115"/>
      <c r="P649" s="127"/>
      <c r="Q649" s="113"/>
      <c r="R649" s="114"/>
      <c r="S649" s="579"/>
      <c r="T649" s="211"/>
    </row>
    <row r="650" spans="1:20" s="331" customFormat="1" ht="40.5" customHeight="1" x14ac:dyDescent="0.35">
      <c r="A650" s="576"/>
      <c r="B650" s="600"/>
      <c r="C650" s="191"/>
      <c r="D650" s="183" t="s">
        <v>6</v>
      </c>
      <c r="E650" s="191"/>
      <c r="F650" s="184"/>
      <c r="G650" s="184"/>
      <c r="H650" s="187"/>
      <c r="I650" s="187">
        <f>(H645+H646+H647+H648+H649)/5</f>
        <v>100</v>
      </c>
      <c r="J650" s="182"/>
      <c r="K650" s="183" t="s">
        <v>6</v>
      </c>
      <c r="L650" s="184"/>
      <c r="M650" s="188"/>
      <c r="N650" s="188"/>
      <c r="O650" s="187"/>
      <c r="P650" s="187">
        <f>O645</f>
        <v>100</v>
      </c>
      <c r="Q650" s="187">
        <f>(I650+P650)/2</f>
        <v>100</v>
      </c>
      <c r="R650" s="191" t="s">
        <v>31</v>
      </c>
      <c r="S650" s="579"/>
      <c r="T650" s="330"/>
    </row>
    <row r="651" spans="1:20" s="212" customFormat="1" ht="69" customHeight="1" x14ac:dyDescent="0.35">
      <c r="A651" s="576"/>
      <c r="B651" s="600"/>
      <c r="C651" s="502" t="s">
        <v>13</v>
      </c>
      <c r="D651" s="146" t="s">
        <v>131</v>
      </c>
      <c r="E651" s="114"/>
      <c r="F651" s="114"/>
      <c r="G651" s="114"/>
      <c r="H651" s="113"/>
      <c r="I651" s="113"/>
      <c r="J651" s="502" t="s">
        <v>13</v>
      </c>
      <c r="K651" s="146" t="s">
        <v>131</v>
      </c>
      <c r="L651" s="114"/>
      <c r="M651" s="119"/>
      <c r="N651" s="119"/>
      <c r="O651" s="113"/>
      <c r="P651" s="127"/>
      <c r="Q651" s="113"/>
      <c r="R651" s="114"/>
      <c r="S651" s="579"/>
      <c r="T651" s="211"/>
    </row>
    <row r="652" spans="1:20" s="212" customFormat="1" ht="69" customHeight="1" x14ac:dyDescent="0.35">
      <c r="A652" s="576"/>
      <c r="B652" s="600"/>
      <c r="C652" s="114" t="s">
        <v>14</v>
      </c>
      <c r="D652" s="116" t="s">
        <v>132</v>
      </c>
      <c r="E652" s="114" t="s">
        <v>25</v>
      </c>
      <c r="F652" s="114">
        <v>100</v>
      </c>
      <c r="G652" s="114">
        <v>100</v>
      </c>
      <c r="H652" s="509">
        <f t="shared" ref="H652:H656" si="40">IF(G652/F652*100&gt;100,100,G652/F652*100)</f>
        <v>100</v>
      </c>
      <c r="I652" s="114"/>
      <c r="J652" s="118" t="s">
        <v>14</v>
      </c>
      <c r="K652" s="116" t="s">
        <v>89</v>
      </c>
      <c r="L652" s="114" t="s">
        <v>38</v>
      </c>
      <c r="M652" s="114">
        <v>283</v>
      </c>
      <c r="N652" s="114">
        <v>287</v>
      </c>
      <c r="O652" s="115">
        <f>IF(N652/M652*100&gt;110,110,N652/M652*100)</f>
        <v>101.41342756183747</v>
      </c>
      <c r="P652" s="114"/>
      <c r="Q652" s="113"/>
      <c r="R652" s="114"/>
      <c r="S652" s="579"/>
      <c r="T652" s="211"/>
    </row>
    <row r="653" spans="1:20" s="212" customFormat="1" ht="36.75" customHeight="1" x14ac:dyDescent="0.35">
      <c r="A653" s="576"/>
      <c r="B653" s="600"/>
      <c r="C653" s="114" t="s">
        <v>15</v>
      </c>
      <c r="D653" s="116" t="s">
        <v>559</v>
      </c>
      <c r="E653" s="114" t="s">
        <v>25</v>
      </c>
      <c r="F653" s="114">
        <v>100</v>
      </c>
      <c r="G653" s="114">
        <v>100</v>
      </c>
      <c r="H653" s="509">
        <f t="shared" si="40"/>
        <v>100</v>
      </c>
      <c r="I653" s="114"/>
      <c r="J653" s="118"/>
      <c r="K653" s="116"/>
      <c r="L653" s="114"/>
      <c r="M653" s="119"/>
      <c r="N653" s="119"/>
      <c r="O653" s="115"/>
      <c r="P653" s="127"/>
      <c r="Q653" s="113"/>
      <c r="R653" s="114"/>
      <c r="S653" s="579"/>
      <c r="T653" s="211"/>
    </row>
    <row r="654" spans="1:20" s="212" customFormat="1" ht="36" customHeight="1" x14ac:dyDescent="0.35">
      <c r="A654" s="576"/>
      <c r="B654" s="600"/>
      <c r="C654" s="114" t="s">
        <v>39</v>
      </c>
      <c r="D654" s="116" t="s">
        <v>468</v>
      </c>
      <c r="E654" s="114" t="s">
        <v>25</v>
      </c>
      <c r="F654" s="114">
        <v>100</v>
      </c>
      <c r="G654" s="114">
        <v>100</v>
      </c>
      <c r="H654" s="509">
        <f t="shared" si="40"/>
        <v>100</v>
      </c>
      <c r="I654" s="114"/>
      <c r="J654" s="118"/>
      <c r="K654" s="116"/>
      <c r="L654" s="114"/>
      <c r="M654" s="119"/>
      <c r="N654" s="119"/>
      <c r="O654" s="115"/>
      <c r="P654" s="127"/>
      <c r="Q654" s="113"/>
      <c r="R654" s="114"/>
      <c r="S654" s="579"/>
      <c r="T654" s="211"/>
    </row>
    <row r="655" spans="1:20" s="212" customFormat="1" ht="69.75" x14ac:dyDescent="0.35">
      <c r="A655" s="576"/>
      <c r="B655" s="600"/>
      <c r="C655" s="114" t="s">
        <v>45</v>
      </c>
      <c r="D655" s="116" t="s">
        <v>88</v>
      </c>
      <c r="E655" s="114" t="s">
        <v>25</v>
      </c>
      <c r="F655" s="114">
        <v>90</v>
      </c>
      <c r="G655" s="114">
        <v>90</v>
      </c>
      <c r="H655" s="509">
        <f t="shared" si="40"/>
        <v>100</v>
      </c>
      <c r="I655" s="114"/>
      <c r="J655" s="118"/>
      <c r="K655" s="116"/>
      <c r="L655" s="114"/>
      <c r="M655" s="119"/>
      <c r="N655" s="119"/>
      <c r="O655" s="115"/>
      <c r="P655" s="127"/>
      <c r="Q655" s="113"/>
      <c r="R655" s="114"/>
      <c r="S655" s="579"/>
      <c r="T655" s="211"/>
    </row>
    <row r="656" spans="1:20" s="212" customFormat="1" ht="116.25" x14ac:dyDescent="0.35">
      <c r="A656" s="576"/>
      <c r="B656" s="600"/>
      <c r="C656" s="114" t="s">
        <v>66</v>
      </c>
      <c r="D656" s="116" t="s">
        <v>130</v>
      </c>
      <c r="E656" s="114" t="s">
        <v>25</v>
      </c>
      <c r="F656" s="114">
        <v>100</v>
      </c>
      <c r="G656" s="114">
        <v>100</v>
      </c>
      <c r="H656" s="509">
        <f t="shared" si="40"/>
        <v>100</v>
      </c>
      <c r="I656" s="114"/>
      <c r="J656" s="118"/>
      <c r="K656" s="116"/>
      <c r="L656" s="114"/>
      <c r="M656" s="119"/>
      <c r="N656" s="119"/>
      <c r="O656" s="115"/>
      <c r="P656" s="127"/>
      <c r="Q656" s="113"/>
      <c r="R656" s="114"/>
      <c r="S656" s="579"/>
      <c r="T656" s="211"/>
    </row>
    <row r="657" spans="1:20" s="331" customFormat="1" ht="40.5" customHeight="1" x14ac:dyDescent="0.35">
      <c r="A657" s="576"/>
      <c r="B657" s="600"/>
      <c r="C657" s="191"/>
      <c r="D657" s="183" t="s">
        <v>6</v>
      </c>
      <c r="E657" s="191"/>
      <c r="F657" s="184"/>
      <c r="G657" s="184"/>
      <c r="H657" s="187"/>
      <c r="I657" s="187">
        <f>(H652+H653+H654+H655+H656)/5</f>
        <v>100</v>
      </c>
      <c r="J657" s="182"/>
      <c r="K657" s="183" t="s">
        <v>6</v>
      </c>
      <c r="L657" s="184"/>
      <c r="M657" s="188"/>
      <c r="N657" s="188"/>
      <c r="O657" s="187"/>
      <c r="P657" s="187">
        <f>O652</f>
        <v>101.41342756183747</v>
      </c>
      <c r="Q657" s="187">
        <f>(I657+P657)/2</f>
        <v>100.70671378091873</v>
      </c>
      <c r="R657" s="191" t="s">
        <v>31</v>
      </c>
      <c r="S657" s="579"/>
      <c r="T657" s="330"/>
    </row>
    <row r="658" spans="1:20" s="212" customFormat="1" ht="54" customHeight="1" x14ac:dyDescent="0.35">
      <c r="A658" s="576"/>
      <c r="B658" s="600"/>
      <c r="C658" s="502" t="s">
        <v>28</v>
      </c>
      <c r="D658" s="146" t="s">
        <v>133</v>
      </c>
      <c r="E658" s="114"/>
      <c r="F658" s="114"/>
      <c r="G658" s="114"/>
      <c r="H658" s="113"/>
      <c r="I658" s="113"/>
      <c r="J658" s="502" t="s">
        <v>28</v>
      </c>
      <c r="K658" s="146" t="str">
        <f>D658</f>
        <v>Реализация основных общеобразовательных программ среднего общего образования</v>
      </c>
      <c r="L658" s="114"/>
      <c r="M658" s="119"/>
      <c r="N658" s="119"/>
      <c r="O658" s="113"/>
      <c r="P658" s="127"/>
      <c r="Q658" s="113"/>
      <c r="R658" s="114"/>
      <c r="S658" s="579"/>
      <c r="T658" s="211"/>
    </row>
    <row r="659" spans="1:20" s="212" customFormat="1" ht="53.25" customHeight="1" x14ac:dyDescent="0.35">
      <c r="A659" s="576"/>
      <c r="B659" s="600"/>
      <c r="C659" s="114" t="s">
        <v>29</v>
      </c>
      <c r="D659" s="116" t="s">
        <v>134</v>
      </c>
      <c r="E659" s="114" t="s">
        <v>25</v>
      </c>
      <c r="F659" s="114">
        <v>100</v>
      </c>
      <c r="G659" s="114">
        <v>100</v>
      </c>
      <c r="H659" s="509">
        <f t="shared" ref="H659:H663" si="41">IF(G659/F659*100&gt;100,100,G659/F659*100)</f>
        <v>100</v>
      </c>
      <c r="I659" s="114"/>
      <c r="J659" s="118" t="s">
        <v>29</v>
      </c>
      <c r="K659" s="116" t="s">
        <v>89</v>
      </c>
      <c r="L659" s="114" t="s">
        <v>38</v>
      </c>
      <c r="M659" s="114">
        <v>41</v>
      </c>
      <c r="N659" s="114">
        <v>44</v>
      </c>
      <c r="O659" s="115">
        <f>IF(N659/M659*100&gt;110,110,N659/M659*100)</f>
        <v>107.31707317073172</v>
      </c>
      <c r="P659" s="114"/>
      <c r="Q659" s="113"/>
      <c r="R659" s="114"/>
      <c r="S659" s="579"/>
      <c r="T659" s="211"/>
    </row>
    <row r="660" spans="1:20" s="212" customFormat="1" ht="45" customHeight="1" x14ac:dyDescent="0.35">
      <c r="A660" s="576"/>
      <c r="B660" s="600"/>
      <c r="C660" s="114" t="s">
        <v>30</v>
      </c>
      <c r="D660" s="116" t="s">
        <v>560</v>
      </c>
      <c r="E660" s="114" t="s">
        <v>25</v>
      </c>
      <c r="F660" s="114">
        <v>100</v>
      </c>
      <c r="G660" s="114">
        <v>100</v>
      </c>
      <c r="H660" s="509">
        <f t="shared" si="41"/>
        <v>100</v>
      </c>
      <c r="I660" s="114"/>
      <c r="J660" s="118"/>
      <c r="K660" s="116"/>
      <c r="L660" s="114"/>
      <c r="M660" s="119"/>
      <c r="N660" s="119"/>
      <c r="O660" s="115"/>
      <c r="P660" s="127"/>
      <c r="Q660" s="113"/>
      <c r="R660" s="114"/>
      <c r="S660" s="579"/>
      <c r="T660" s="211"/>
    </row>
    <row r="661" spans="1:20" s="212" customFormat="1" ht="37.5" customHeight="1" x14ac:dyDescent="0.35">
      <c r="A661" s="576"/>
      <c r="B661" s="600"/>
      <c r="C661" s="114" t="s">
        <v>52</v>
      </c>
      <c r="D661" s="116" t="s">
        <v>468</v>
      </c>
      <c r="E661" s="114" t="s">
        <v>25</v>
      </c>
      <c r="F661" s="114">
        <v>100</v>
      </c>
      <c r="G661" s="114">
        <v>100</v>
      </c>
      <c r="H661" s="509">
        <f t="shared" si="41"/>
        <v>100</v>
      </c>
      <c r="I661" s="114"/>
      <c r="J661" s="118"/>
      <c r="K661" s="116"/>
      <c r="L661" s="114"/>
      <c r="M661" s="119"/>
      <c r="N661" s="119"/>
      <c r="O661" s="115"/>
      <c r="P661" s="127"/>
      <c r="Q661" s="113"/>
      <c r="R661" s="114"/>
      <c r="S661" s="579"/>
      <c r="T661" s="211"/>
    </row>
    <row r="662" spans="1:20" s="212" customFormat="1" ht="69.75" x14ac:dyDescent="0.35">
      <c r="A662" s="576"/>
      <c r="B662" s="600"/>
      <c r="C662" s="114" t="s">
        <v>53</v>
      </c>
      <c r="D662" s="116" t="s">
        <v>88</v>
      </c>
      <c r="E662" s="114" t="s">
        <v>25</v>
      </c>
      <c r="F662" s="114">
        <v>90</v>
      </c>
      <c r="G662" s="114">
        <v>90</v>
      </c>
      <c r="H662" s="509">
        <f t="shared" si="41"/>
        <v>100</v>
      </c>
      <c r="I662" s="114"/>
      <c r="J662" s="118"/>
      <c r="K662" s="116"/>
      <c r="L662" s="114"/>
      <c r="M662" s="119"/>
      <c r="N662" s="119"/>
      <c r="O662" s="115"/>
      <c r="P662" s="127"/>
      <c r="Q662" s="113"/>
      <c r="R662" s="114"/>
      <c r="S662" s="579"/>
      <c r="T662" s="211"/>
    </row>
    <row r="663" spans="1:20" s="212" customFormat="1" ht="108.75" customHeight="1" x14ac:dyDescent="0.35">
      <c r="A663" s="576"/>
      <c r="B663" s="600"/>
      <c r="C663" s="114" t="s">
        <v>135</v>
      </c>
      <c r="D663" s="116" t="s">
        <v>130</v>
      </c>
      <c r="E663" s="114" t="s">
        <v>25</v>
      </c>
      <c r="F663" s="114">
        <v>100</v>
      </c>
      <c r="G663" s="114">
        <v>100</v>
      </c>
      <c r="H663" s="509">
        <f t="shared" si="41"/>
        <v>100</v>
      </c>
      <c r="I663" s="114"/>
      <c r="J663" s="118"/>
      <c r="K663" s="116"/>
      <c r="L663" s="114"/>
      <c r="M663" s="119"/>
      <c r="N663" s="119"/>
      <c r="O663" s="115"/>
      <c r="P663" s="127"/>
      <c r="Q663" s="113"/>
      <c r="R663" s="114"/>
      <c r="S663" s="579"/>
      <c r="T663" s="211"/>
    </row>
    <row r="664" spans="1:20" s="331" customFormat="1" ht="40.5" customHeight="1" x14ac:dyDescent="0.35">
      <c r="A664" s="576"/>
      <c r="B664" s="600"/>
      <c r="C664" s="191"/>
      <c r="D664" s="183" t="s">
        <v>6</v>
      </c>
      <c r="E664" s="191"/>
      <c r="F664" s="184"/>
      <c r="G664" s="184"/>
      <c r="H664" s="187"/>
      <c r="I664" s="187">
        <f>(H659+H660+H661+H662+H663)/5</f>
        <v>100</v>
      </c>
      <c r="J664" s="182"/>
      <c r="K664" s="183" t="s">
        <v>6</v>
      </c>
      <c r="L664" s="184"/>
      <c r="M664" s="188"/>
      <c r="N664" s="188"/>
      <c r="O664" s="187"/>
      <c r="P664" s="187">
        <f>O659</f>
        <v>107.31707317073172</v>
      </c>
      <c r="Q664" s="187">
        <f>(I664+P664)/2</f>
        <v>103.65853658536585</v>
      </c>
      <c r="R664" s="191" t="s">
        <v>31</v>
      </c>
      <c r="S664" s="579"/>
      <c r="T664" s="330"/>
    </row>
    <row r="665" spans="1:20" s="212" customFormat="1" ht="45" customHeight="1" x14ac:dyDescent="0.35">
      <c r="A665" s="576"/>
      <c r="B665" s="600"/>
      <c r="C665" s="502" t="s">
        <v>42</v>
      </c>
      <c r="D665" s="146" t="s">
        <v>90</v>
      </c>
      <c r="E665" s="114"/>
      <c r="F665" s="114"/>
      <c r="G665" s="114"/>
      <c r="H665" s="113"/>
      <c r="I665" s="113"/>
      <c r="J665" s="502" t="s">
        <v>42</v>
      </c>
      <c r="K665" s="146" t="s">
        <v>90</v>
      </c>
      <c r="L665" s="114"/>
      <c r="M665" s="119"/>
      <c r="N665" s="119"/>
      <c r="O665" s="113"/>
      <c r="P665" s="127"/>
      <c r="Q665" s="113"/>
      <c r="R665" s="114"/>
      <c r="S665" s="579"/>
      <c r="T665" s="211"/>
    </row>
    <row r="666" spans="1:20" s="212" customFormat="1" ht="42.75" customHeight="1" x14ac:dyDescent="0.35">
      <c r="A666" s="576"/>
      <c r="B666" s="600"/>
      <c r="C666" s="114" t="s">
        <v>43</v>
      </c>
      <c r="D666" s="116" t="s">
        <v>136</v>
      </c>
      <c r="E666" s="114" t="s">
        <v>25</v>
      </c>
      <c r="F666" s="114">
        <v>100</v>
      </c>
      <c r="G666" s="114">
        <v>100</v>
      </c>
      <c r="H666" s="509">
        <f t="shared" ref="H666:H667" si="42">IF(G666/F666*100&gt;100,100,G666/F666*100)</f>
        <v>100</v>
      </c>
      <c r="I666" s="114"/>
      <c r="J666" s="118" t="s">
        <v>43</v>
      </c>
      <c r="K666" s="116" t="s">
        <v>89</v>
      </c>
      <c r="L666" s="114" t="s">
        <v>38</v>
      </c>
      <c r="M666" s="114">
        <v>50</v>
      </c>
      <c r="N666" s="114">
        <v>50</v>
      </c>
      <c r="O666" s="115">
        <f>IF(N666/M666*100&gt;110,110,N666/M666*100)</f>
        <v>100</v>
      </c>
      <c r="P666" s="127"/>
      <c r="Q666" s="113"/>
      <c r="R666" s="114"/>
      <c r="S666" s="579"/>
      <c r="T666" s="211"/>
    </row>
    <row r="667" spans="1:20" s="212" customFormat="1" ht="80.25" customHeight="1" x14ac:dyDescent="0.35">
      <c r="A667" s="576"/>
      <c r="B667" s="600"/>
      <c r="C667" s="114" t="s">
        <v>137</v>
      </c>
      <c r="D667" s="116" t="s">
        <v>138</v>
      </c>
      <c r="E667" s="114" t="s">
        <v>25</v>
      </c>
      <c r="F667" s="114">
        <v>90</v>
      </c>
      <c r="G667" s="114">
        <v>90</v>
      </c>
      <c r="H667" s="509">
        <f t="shared" si="42"/>
        <v>100</v>
      </c>
      <c r="I667" s="114"/>
      <c r="J667" s="118"/>
      <c r="K667" s="116"/>
      <c r="L667" s="114"/>
      <c r="M667" s="119"/>
      <c r="N667" s="119"/>
      <c r="O667" s="115"/>
      <c r="P667" s="127"/>
      <c r="Q667" s="113"/>
      <c r="R667" s="114"/>
      <c r="S667" s="579"/>
      <c r="T667" s="211"/>
    </row>
    <row r="668" spans="1:20" s="331" customFormat="1" ht="54" customHeight="1" x14ac:dyDescent="0.35">
      <c r="A668" s="576"/>
      <c r="B668" s="600"/>
      <c r="C668" s="191"/>
      <c r="D668" s="183" t="s">
        <v>6</v>
      </c>
      <c r="E668" s="191"/>
      <c r="F668" s="184"/>
      <c r="G668" s="184"/>
      <c r="H668" s="187"/>
      <c r="I668" s="187">
        <f>H667</f>
        <v>100</v>
      </c>
      <c r="J668" s="182"/>
      <c r="K668" s="183" t="s">
        <v>6</v>
      </c>
      <c r="L668" s="184"/>
      <c r="M668" s="188"/>
      <c r="N668" s="188"/>
      <c r="O668" s="187"/>
      <c r="P668" s="187">
        <f>O666</f>
        <v>100</v>
      </c>
      <c r="Q668" s="187">
        <f>(I668+P668)/2</f>
        <v>100</v>
      </c>
      <c r="R668" s="191" t="s">
        <v>31</v>
      </c>
      <c r="S668" s="579"/>
      <c r="T668" s="330"/>
    </row>
    <row r="669" spans="1:20" s="212" customFormat="1" ht="84.75" customHeight="1" x14ac:dyDescent="0.35">
      <c r="A669" s="576"/>
      <c r="B669" s="600"/>
      <c r="C669" s="502" t="s">
        <v>164</v>
      </c>
      <c r="D669" s="146" t="s">
        <v>211</v>
      </c>
      <c r="E669" s="114"/>
      <c r="F669" s="114"/>
      <c r="G669" s="114"/>
      <c r="H669" s="113"/>
      <c r="I669" s="113"/>
      <c r="J669" s="502" t="s">
        <v>164</v>
      </c>
      <c r="K669" s="146" t="str">
        <f>D669</f>
        <v>Реализация дополнительных общеразвивающих программ</v>
      </c>
      <c r="L669" s="114"/>
      <c r="M669" s="119"/>
      <c r="N669" s="119"/>
      <c r="O669" s="113"/>
      <c r="P669" s="127"/>
      <c r="Q669" s="113"/>
      <c r="R669" s="114"/>
      <c r="S669" s="579"/>
      <c r="T669" s="211"/>
    </row>
    <row r="670" spans="1:20" s="212" customFormat="1" ht="49.5" customHeight="1" x14ac:dyDescent="0.35">
      <c r="A670" s="576"/>
      <c r="B670" s="600"/>
      <c r="C670" s="114" t="s">
        <v>165</v>
      </c>
      <c r="D670" s="116" t="s">
        <v>138</v>
      </c>
      <c r="E670" s="114" t="s">
        <v>25</v>
      </c>
      <c r="F670" s="114">
        <v>90</v>
      </c>
      <c r="G670" s="114">
        <v>90</v>
      </c>
      <c r="H670" s="509">
        <f>IF(G670/F670*100&gt;100,100,G670/F670*100)</f>
        <v>100</v>
      </c>
      <c r="I670" s="114"/>
      <c r="J670" s="118" t="s">
        <v>165</v>
      </c>
      <c r="K670" s="116" t="s">
        <v>469</v>
      </c>
      <c r="L670" s="114" t="s">
        <v>339</v>
      </c>
      <c r="M670" s="114">
        <v>36089</v>
      </c>
      <c r="N670" s="114">
        <v>36089</v>
      </c>
      <c r="O670" s="115">
        <f>IF(N670/M670*100&gt;110,110,N670/M670*100)</f>
        <v>100</v>
      </c>
      <c r="P670" s="127"/>
      <c r="Q670" s="113"/>
      <c r="R670" s="114"/>
      <c r="S670" s="579"/>
      <c r="T670" s="211"/>
    </row>
    <row r="671" spans="1:20" s="331" customFormat="1" ht="41.25" customHeight="1" x14ac:dyDescent="0.35">
      <c r="A671" s="576"/>
      <c r="B671" s="600"/>
      <c r="C671" s="191"/>
      <c r="D671" s="183" t="s">
        <v>6</v>
      </c>
      <c r="E671" s="191"/>
      <c r="F671" s="184"/>
      <c r="G671" s="184"/>
      <c r="H671" s="187"/>
      <c r="I671" s="187">
        <f>H670</f>
        <v>100</v>
      </c>
      <c r="J671" s="182"/>
      <c r="K671" s="183" t="s">
        <v>6</v>
      </c>
      <c r="L671" s="184"/>
      <c r="M671" s="188"/>
      <c r="N671" s="188"/>
      <c r="O671" s="187"/>
      <c r="P671" s="187">
        <f>O670</f>
        <v>100</v>
      </c>
      <c r="Q671" s="187">
        <f>(I671+P671)/2</f>
        <v>100</v>
      </c>
      <c r="R671" s="191" t="s">
        <v>31</v>
      </c>
      <c r="S671" s="579"/>
      <c r="T671" s="330"/>
    </row>
    <row r="672" spans="1:20" s="212" customFormat="1" ht="66" customHeight="1" x14ac:dyDescent="0.35">
      <c r="A672" s="576">
        <v>48</v>
      </c>
      <c r="B672" s="600" t="s">
        <v>148</v>
      </c>
      <c r="C672" s="502" t="s">
        <v>12</v>
      </c>
      <c r="D672" s="146" t="s">
        <v>128</v>
      </c>
      <c r="E672" s="502"/>
      <c r="F672" s="502"/>
      <c r="G672" s="502"/>
      <c r="H672" s="113"/>
      <c r="I672" s="113"/>
      <c r="J672" s="502" t="s">
        <v>12</v>
      </c>
      <c r="K672" s="146" t="s">
        <v>128</v>
      </c>
      <c r="L672" s="114"/>
      <c r="M672" s="114"/>
      <c r="N672" s="114"/>
      <c r="O672" s="113"/>
      <c r="P672" s="127"/>
      <c r="Q672" s="113"/>
      <c r="R672" s="114"/>
      <c r="S672" s="579" t="s">
        <v>280</v>
      </c>
      <c r="T672" s="211"/>
    </row>
    <row r="673" spans="1:20" s="212" customFormat="1" ht="57.75" customHeight="1" x14ac:dyDescent="0.35">
      <c r="A673" s="576"/>
      <c r="B673" s="600"/>
      <c r="C673" s="114" t="s">
        <v>7</v>
      </c>
      <c r="D673" s="116" t="s">
        <v>129</v>
      </c>
      <c r="E673" s="114" t="s">
        <v>25</v>
      </c>
      <c r="F673" s="114">
        <v>100</v>
      </c>
      <c r="G673" s="114">
        <v>100</v>
      </c>
      <c r="H673" s="509">
        <f t="shared" ref="H673:H677" si="43">IF(G673/F673*100&gt;100,100,G673/F673*100)</f>
        <v>100</v>
      </c>
      <c r="I673" s="114"/>
      <c r="J673" s="114" t="s">
        <v>7</v>
      </c>
      <c r="K673" s="116" t="s">
        <v>89</v>
      </c>
      <c r="L673" s="114" t="s">
        <v>38</v>
      </c>
      <c r="M673" s="114">
        <v>246</v>
      </c>
      <c r="N673" s="114">
        <v>245</v>
      </c>
      <c r="O673" s="115">
        <f>IF(N673/M673*100&gt;110,110,N673/M673*100)</f>
        <v>99.59349593495935</v>
      </c>
      <c r="P673" s="127"/>
      <c r="Q673" s="113"/>
      <c r="R673" s="114"/>
      <c r="S673" s="579"/>
      <c r="T673" s="211"/>
    </row>
    <row r="674" spans="1:20" s="212" customFormat="1" ht="45" customHeight="1" x14ac:dyDescent="0.35">
      <c r="A674" s="576"/>
      <c r="B674" s="600"/>
      <c r="C674" s="114" t="s">
        <v>8</v>
      </c>
      <c r="D674" s="116" t="s">
        <v>561</v>
      </c>
      <c r="E674" s="114" t="s">
        <v>25</v>
      </c>
      <c r="F674" s="114">
        <v>100</v>
      </c>
      <c r="G674" s="114">
        <v>100</v>
      </c>
      <c r="H674" s="509">
        <f t="shared" si="43"/>
        <v>100</v>
      </c>
      <c r="I674" s="114"/>
      <c r="J674" s="114"/>
      <c r="K674" s="503"/>
      <c r="L674" s="114"/>
      <c r="M674" s="117"/>
      <c r="N674" s="117"/>
      <c r="O674" s="115"/>
      <c r="P674" s="127"/>
      <c r="Q674" s="113"/>
      <c r="R674" s="114"/>
      <c r="S674" s="579"/>
      <c r="T674" s="211"/>
    </row>
    <row r="675" spans="1:20" s="212" customFormat="1" ht="43.5" customHeight="1" x14ac:dyDescent="0.35">
      <c r="A675" s="576"/>
      <c r="B675" s="600"/>
      <c r="C675" s="114" t="s">
        <v>9</v>
      </c>
      <c r="D675" s="116" t="s">
        <v>468</v>
      </c>
      <c r="E675" s="114" t="s">
        <v>25</v>
      </c>
      <c r="F675" s="114">
        <v>100</v>
      </c>
      <c r="G675" s="114">
        <v>100</v>
      </c>
      <c r="H675" s="509">
        <f t="shared" si="43"/>
        <v>100</v>
      </c>
      <c r="I675" s="114"/>
      <c r="J675" s="118"/>
      <c r="K675" s="116"/>
      <c r="L675" s="114"/>
      <c r="M675" s="119"/>
      <c r="N675" s="119"/>
      <c r="O675" s="115"/>
      <c r="P675" s="127"/>
      <c r="Q675" s="113"/>
      <c r="R675" s="114"/>
      <c r="S675" s="579"/>
      <c r="T675" s="211"/>
    </row>
    <row r="676" spans="1:20" s="212" customFormat="1" ht="59.25" customHeight="1" x14ac:dyDescent="0.35">
      <c r="A676" s="576"/>
      <c r="B676" s="600"/>
      <c r="C676" s="114" t="s">
        <v>10</v>
      </c>
      <c r="D676" s="116" t="s">
        <v>88</v>
      </c>
      <c r="E676" s="114" t="s">
        <v>25</v>
      </c>
      <c r="F676" s="114">
        <v>90</v>
      </c>
      <c r="G676" s="114">
        <v>100</v>
      </c>
      <c r="H676" s="509">
        <f t="shared" si="43"/>
        <v>100</v>
      </c>
      <c r="I676" s="114"/>
      <c r="J676" s="118"/>
      <c r="K676" s="116"/>
      <c r="L676" s="114"/>
      <c r="M676" s="119"/>
      <c r="N676" s="119"/>
      <c r="O676" s="115"/>
      <c r="P676" s="127"/>
      <c r="Q676" s="113"/>
      <c r="R676" s="114"/>
      <c r="S676" s="579"/>
      <c r="T676" s="211"/>
    </row>
    <row r="677" spans="1:20" s="212" customFormat="1" ht="120.75" customHeight="1" x14ac:dyDescent="0.35">
      <c r="A677" s="576"/>
      <c r="B677" s="600"/>
      <c r="C677" s="114" t="s">
        <v>35</v>
      </c>
      <c r="D677" s="116" t="s">
        <v>130</v>
      </c>
      <c r="E677" s="114" t="s">
        <v>25</v>
      </c>
      <c r="F677" s="114">
        <v>100</v>
      </c>
      <c r="G677" s="114">
        <v>100</v>
      </c>
      <c r="H677" s="509">
        <f t="shared" si="43"/>
        <v>100</v>
      </c>
      <c r="I677" s="114"/>
      <c r="J677" s="118"/>
      <c r="K677" s="116"/>
      <c r="L677" s="114"/>
      <c r="M677" s="119"/>
      <c r="N677" s="119"/>
      <c r="O677" s="115"/>
      <c r="P677" s="127"/>
      <c r="Q677" s="113"/>
      <c r="R677" s="114"/>
      <c r="S677" s="579"/>
      <c r="T677" s="211"/>
    </row>
    <row r="678" spans="1:20" s="331" customFormat="1" ht="40.5" customHeight="1" x14ac:dyDescent="0.35">
      <c r="A678" s="576"/>
      <c r="B678" s="600"/>
      <c r="C678" s="191"/>
      <c r="D678" s="183" t="s">
        <v>6</v>
      </c>
      <c r="E678" s="191"/>
      <c r="F678" s="184"/>
      <c r="G678" s="184"/>
      <c r="H678" s="187"/>
      <c r="I678" s="187">
        <f>(H673+H674+H675+H676+H677)/5</f>
        <v>100</v>
      </c>
      <c r="J678" s="182"/>
      <c r="K678" s="183" t="s">
        <v>6</v>
      </c>
      <c r="L678" s="184"/>
      <c r="M678" s="188"/>
      <c r="N678" s="188"/>
      <c r="O678" s="187"/>
      <c r="P678" s="187">
        <f>O673</f>
        <v>99.59349593495935</v>
      </c>
      <c r="Q678" s="187">
        <f>(I678+P678)/2</f>
        <v>99.796747967479675</v>
      </c>
      <c r="R678" s="191" t="s">
        <v>361</v>
      </c>
      <c r="S678" s="579"/>
      <c r="T678" s="330"/>
    </row>
    <row r="679" spans="1:20" s="212" customFormat="1" ht="66" customHeight="1" x14ac:dyDescent="0.35">
      <c r="A679" s="576"/>
      <c r="B679" s="600"/>
      <c r="C679" s="502" t="s">
        <v>13</v>
      </c>
      <c r="D679" s="146" t="s">
        <v>131</v>
      </c>
      <c r="E679" s="114"/>
      <c r="F679" s="114"/>
      <c r="G679" s="114"/>
      <c r="H679" s="113"/>
      <c r="I679" s="113"/>
      <c r="J679" s="502" t="s">
        <v>13</v>
      </c>
      <c r="K679" s="146" t="s">
        <v>131</v>
      </c>
      <c r="L679" s="114"/>
      <c r="M679" s="119"/>
      <c r="N679" s="119"/>
      <c r="O679" s="113"/>
      <c r="P679" s="127"/>
      <c r="Q679" s="113"/>
      <c r="R679" s="114"/>
      <c r="S679" s="579"/>
      <c r="T679" s="211"/>
    </row>
    <row r="680" spans="1:20" s="212" customFormat="1" ht="57.75" customHeight="1" x14ac:dyDescent="0.35">
      <c r="A680" s="576"/>
      <c r="B680" s="600"/>
      <c r="C680" s="114" t="s">
        <v>14</v>
      </c>
      <c r="D680" s="116" t="s">
        <v>132</v>
      </c>
      <c r="E680" s="114" t="s">
        <v>25</v>
      </c>
      <c r="F680" s="114">
        <v>100</v>
      </c>
      <c r="G680" s="114">
        <v>100</v>
      </c>
      <c r="H680" s="509">
        <f t="shared" ref="H680:H684" si="44">IF(G680/F680*100&gt;100,100,G680/F680*100)</f>
        <v>100</v>
      </c>
      <c r="I680" s="114"/>
      <c r="J680" s="118" t="s">
        <v>14</v>
      </c>
      <c r="K680" s="116" t="s">
        <v>89</v>
      </c>
      <c r="L680" s="114" t="s">
        <v>38</v>
      </c>
      <c r="M680" s="114">
        <v>390</v>
      </c>
      <c r="N680" s="114">
        <v>384</v>
      </c>
      <c r="O680" s="115">
        <f>IF(N680/M680*100&gt;110,110,N680/M680*100)</f>
        <v>98.461538461538467</v>
      </c>
      <c r="P680" s="114"/>
      <c r="Q680" s="113"/>
      <c r="R680" s="114"/>
      <c r="S680" s="579"/>
      <c r="T680" s="211"/>
    </row>
    <row r="681" spans="1:20" s="212" customFormat="1" x14ac:dyDescent="0.35">
      <c r="A681" s="576"/>
      <c r="B681" s="600"/>
      <c r="C681" s="114" t="s">
        <v>15</v>
      </c>
      <c r="D681" s="116" t="s">
        <v>559</v>
      </c>
      <c r="E681" s="114" t="s">
        <v>25</v>
      </c>
      <c r="F681" s="114">
        <v>100</v>
      </c>
      <c r="G681" s="114">
        <v>100</v>
      </c>
      <c r="H681" s="509">
        <f t="shared" si="44"/>
        <v>100</v>
      </c>
      <c r="I681" s="114"/>
      <c r="J681" s="118"/>
      <c r="K681" s="116"/>
      <c r="L681" s="114"/>
      <c r="M681" s="119"/>
      <c r="N681" s="119"/>
      <c r="O681" s="115"/>
      <c r="P681" s="127"/>
      <c r="Q681" s="113"/>
      <c r="R681" s="114"/>
      <c r="S681" s="579"/>
      <c r="T681" s="211"/>
    </row>
    <row r="682" spans="1:20" s="212" customFormat="1" ht="45" customHeight="1" x14ac:dyDescent="0.35">
      <c r="A682" s="576"/>
      <c r="B682" s="600"/>
      <c r="C682" s="114" t="s">
        <v>39</v>
      </c>
      <c r="D682" s="116" t="s">
        <v>468</v>
      </c>
      <c r="E682" s="114" t="s">
        <v>25</v>
      </c>
      <c r="F682" s="114">
        <v>100</v>
      </c>
      <c r="G682" s="114">
        <v>100</v>
      </c>
      <c r="H682" s="509">
        <f t="shared" si="44"/>
        <v>100</v>
      </c>
      <c r="I682" s="114"/>
      <c r="J682" s="118"/>
      <c r="K682" s="116"/>
      <c r="L682" s="114"/>
      <c r="M682" s="119"/>
      <c r="N682" s="119"/>
      <c r="O682" s="115"/>
      <c r="P682" s="127"/>
      <c r="Q682" s="113"/>
      <c r="R682" s="114"/>
      <c r="S682" s="579"/>
      <c r="T682" s="211"/>
    </row>
    <row r="683" spans="1:20" s="212" customFormat="1" ht="57.75" customHeight="1" x14ac:dyDescent="0.35">
      <c r="A683" s="576"/>
      <c r="B683" s="600"/>
      <c r="C683" s="114" t="s">
        <v>45</v>
      </c>
      <c r="D683" s="116" t="s">
        <v>88</v>
      </c>
      <c r="E683" s="114" t="s">
        <v>25</v>
      </c>
      <c r="F683" s="114">
        <v>90</v>
      </c>
      <c r="G683" s="114">
        <v>100</v>
      </c>
      <c r="H683" s="509">
        <f t="shared" si="44"/>
        <v>100</v>
      </c>
      <c r="I683" s="114"/>
      <c r="J683" s="118"/>
      <c r="K683" s="116"/>
      <c r="L683" s="114"/>
      <c r="M683" s="119"/>
      <c r="N683" s="119"/>
      <c r="O683" s="115"/>
      <c r="P683" s="127"/>
      <c r="Q683" s="113"/>
      <c r="R683" s="114"/>
      <c r="S683" s="579"/>
      <c r="T683" s="211"/>
    </row>
    <row r="684" spans="1:20" s="212" customFormat="1" ht="111" customHeight="1" x14ac:dyDescent="0.35">
      <c r="A684" s="576"/>
      <c r="B684" s="600"/>
      <c r="C684" s="114" t="s">
        <v>66</v>
      </c>
      <c r="D684" s="116" t="s">
        <v>130</v>
      </c>
      <c r="E684" s="114" t="s">
        <v>25</v>
      </c>
      <c r="F684" s="114">
        <v>100</v>
      </c>
      <c r="G684" s="114">
        <v>100</v>
      </c>
      <c r="H684" s="509">
        <f t="shared" si="44"/>
        <v>100</v>
      </c>
      <c r="I684" s="114"/>
      <c r="J684" s="118"/>
      <c r="K684" s="116"/>
      <c r="L684" s="114"/>
      <c r="M684" s="119"/>
      <c r="N684" s="119"/>
      <c r="O684" s="115"/>
      <c r="P684" s="127"/>
      <c r="Q684" s="113"/>
      <c r="R684" s="114"/>
      <c r="S684" s="579"/>
      <c r="T684" s="211"/>
    </row>
    <row r="685" spans="1:20" s="124" customFormat="1" ht="40.5" customHeight="1" x14ac:dyDescent="0.35">
      <c r="A685" s="576"/>
      <c r="B685" s="600"/>
      <c r="C685" s="191"/>
      <c r="D685" s="183" t="s">
        <v>6</v>
      </c>
      <c r="E685" s="191"/>
      <c r="F685" s="184"/>
      <c r="G685" s="184"/>
      <c r="H685" s="187"/>
      <c r="I685" s="187">
        <f>(H680+H681+H682+H683+H684)/5</f>
        <v>100</v>
      </c>
      <c r="J685" s="182"/>
      <c r="K685" s="183" t="s">
        <v>6</v>
      </c>
      <c r="L685" s="184"/>
      <c r="M685" s="188"/>
      <c r="N685" s="188"/>
      <c r="O685" s="187"/>
      <c r="P685" s="187">
        <f>O680</f>
        <v>98.461538461538467</v>
      </c>
      <c r="Q685" s="187">
        <f>(I685+P685)/2</f>
        <v>99.230769230769226</v>
      </c>
      <c r="R685" s="191" t="s">
        <v>361</v>
      </c>
      <c r="S685" s="579"/>
      <c r="T685" s="123"/>
    </row>
    <row r="686" spans="1:20" s="212" customFormat="1" ht="87.75" customHeight="1" x14ac:dyDescent="0.35">
      <c r="A686" s="576"/>
      <c r="B686" s="600"/>
      <c r="C686" s="502" t="s">
        <v>28</v>
      </c>
      <c r="D686" s="146" t="s">
        <v>133</v>
      </c>
      <c r="E686" s="114"/>
      <c r="F686" s="114"/>
      <c r="G686" s="114"/>
      <c r="H686" s="113"/>
      <c r="I686" s="113"/>
      <c r="J686" s="502" t="s">
        <v>28</v>
      </c>
      <c r="K686" s="146" t="str">
        <f>D686</f>
        <v>Реализация основных общеобразовательных программ среднего общего образования</v>
      </c>
      <c r="L686" s="114"/>
      <c r="M686" s="119"/>
      <c r="N686" s="119"/>
      <c r="O686" s="113"/>
      <c r="P686" s="127"/>
      <c r="Q686" s="113"/>
      <c r="R686" s="114"/>
      <c r="S686" s="579"/>
      <c r="T686" s="211"/>
    </row>
    <row r="687" spans="1:20" s="212" customFormat="1" ht="76.5" customHeight="1" x14ac:dyDescent="0.35">
      <c r="A687" s="576"/>
      <c r="B687" s="600"/>
      <c r="C687" s="114" t="s">
        <v>29</v>
      </c>
      <c r="D687" s="116" t="s">
        <v>134</v>
      </c>
      <c r="E687" s="114" t="s">
        <v>25</v>
      </c>
      <c r="F687" s="114">
        <v>100</v>
      </c>
      <c r="G687" s="114">
        <v>100</v>
      </c>
      <c r="H687" s="509">
        <f t="shared" ref="H687:H691" si="45">IF(G687/F687*100&gt;100,100,G687/F687*100)</f>
        <v>100</v>
      </c>
      <c r="I687" s="114"/>
      <c r="J687" s="118" t="s">
        <v>29</v>
      </c>
      <c r="K687" s="116" t="s">
        <v>89</v>
      </c>
      <c r="L687" s="114" t="s">
        <v>38</v>
      </c>
      <c r="M687" s="114">
        <v>110</v>
      </c>
      <c r="N687" s="114">
        <v>107</v>
      </c>
      <c r="O687" s="115">
        <f>IF(N687/M687*100&gt;110,110,N687/M687*100)</f>
        <v>97.27272727272728</v>
      </c>
      <c r="P687" s="114"/>
      <c r="Q687" s="113"/>
      <c r="R687" s="114"/>
      <c r="S687" s="579"/>
      <c r="T687" s="211"/>
    </row>
    <row r="688" spans="1:20" s="212" customFormat="1" ht="32.25" customHeight="1" x14ac:dyDescent="0.35">
      <c r="A688" s="576"/>
      <c r="B688" s="600"/>
      <c r="C688" s="114" t="s">
        <v>30</v>
      </c>
      <c r="D688" s="116" t="s">
        <v>560</v>
      </c>
      <c r="E688" s="114" t="s">
        <v>25</v>
      </c>
      <c r="F688" s="114">
        <v>100</v>
      </c>
      <c r="G688" s="114">
        <v>100</v>
      </c>
      <c r="H688" s="509">
        <f t="shared" si="45"/>
        <v>100</v>
      </c>
      <c r="I688" s="114"/>
      <c r="J688" s="118"/>
      <c r="K688" s="116"/>
      <c r="L688" s="114"/>
      <c r="M688" s="119"/>
      <c r="N688" s="119"/>
      <c r="O688" s="115"/>
      <c r="P688" s="127"/>
      <c r="Q688" s="113"/>
      <c r="R688" s="114"/>
      <c r="S688" s="579"/>
      <c r="T688" s="211"/>
    </row>
    <row r="689" spans="1:20" s="212" customFormat="1" ht="58.5" customHeight="1" x14ac:dyDescent="0.35">
      <c r="A689" s="576"/>
      <c r="B689" s="600"/>
      <c r="C689" s="114" t="s">
        <v>52</v>
      </c>
      <c r="D689" s="116" t="s">
        <v>468</v>
      </c>
      <c r="E689" s="114" t="s">
        <v>25</v>
      </c>
      <c r="F689" s="114">
        <v>100</v>
      </c>
      <c r="G689" s="114">
        <v>100</v>
      </c>
      <c r="H689" s="509">
        <f t="shared" si="45"/>
        <v>100</v>
      </c>
      <c r="I689" s="114"/>
      <c r="J689" s="118"/>
      <c r="K689" s="116"/>
      <c r="L689" s="114"/>
      <c r="M689" s="119"/>
      <c r="N689" s="119"/>
      <c r="O689" s="115"/>
      <c r="P689" s="127"/>
      <c r="Q689" s="113"/>
      <c r="R689" s="114"/>
      <c r="S689" s="579"/>
      <c r="T689" s="211"/>
    </row>
    <row r="690" spans="1:20" s="212" customFormat="1" ht="69" customHeight="1" x14ac:dyDescent="0.35">
      <c r="A690" s="576"/>
      <c r="B690" s="600"/>
      <c r="C690" s="114" t="s">
        <v>53</v>
      </c>
      <c r="D690" s="116" t="s">
        <v>88</v>
      </c>
      <c r="E690" s="114" t="s">
        <v>25</v>
      </c>
      <c r="F690" s="114">
        <v>90</v>
      </c>
      <c r="G690" s="114">
        <v>100</v>
      </c>
      <c r="H690" s="509">
        <f t="shared" si="45"/>
        <v>100</v>
      </c>
      <c r="I690" s="114"/>
      <c r="J690" s="118"/>
      <c r="K690" s="116"/>
      <c r="L690" s="114"/>
      <c r="M690" s="119"/>
      <c r="N690" s="119"/>
      <c r="O690" s="115"/>
      <c r="P690" s="127"/>
      <c r="Q690" s="113"/>
      <c r="R690" s="114"/>
      <c r="S690" s="579"/>
      <c r="T690" s="211"/>
    </row>
    <row r="691" spans="1:20" s="212" customFormat="1" ht="124.5" customHeight="1" x14ac:dyDescent="0.35">
      <c r="A691" s="576"/>
      <c r="B691" s="600"/>
      <c r="C691" s="114" t="s">
        <v>135</v>
      </c>
      <c r="D691" s="116" t="s">
        <v>130</v>
      </c>
      <c r="E691" s="114" t="s">
        <v>25</v>
      </c>
      <c r="F691" s="114">
        <v>100</v>
      </c>
      <c r="G691" s="114">
        <v>100</v>
      </c>
      <c r="H691" s="509">
        <f t="shared" si="45"/>
        <v>100</v>
      </c>
      <c r="I691" s="114"/>
      <c r="J691" s="118"/>
      <c r="K691" s="116"/>
      <c r="L691" s="114"/>
      <c r="M691" s="119"/>
      <c r="N691" s="119"/>
      <c r="O691" s="115"/>
      <c r="P691" s="127"/>
      <c r="Q691" s="113"/>
      <c r="R691" s="114"/>
      <c r="S691" s="579"/>
      <c r="T691" s="211"/>
    </row>
    <row r="692" spans="1:20" s="124" customFormat="1" ht="40.5" customHeight="1" x14ac:dyDescent="0.35">
      <c r="A692" s="576"/>
      <c r="B692" s="600"/>
      <c r="C692" s="191"/>
      <c r="D692" s="183" t="s">
        <v>6</v>
      </c>
      <c r="E692" s="191"/>
      <c r="F692" s="184"/>
      <c r="G692" s="184"/>
      <c r="H692" s="187"/>
      <c r="I692" s="187">
        <f>(H687+H688+H689+H690+H691)/5</f>
        <v>100</v>
      </c>
      <c r="J692" s="182"/>
      <c r="K692" s="183" t="s">
        <v>6</v>
      </c>
      <c r="L692" s="184"/>
      <c r="M692" s="188"/>
      <c r="N692" s="188"/>
      <c r="O692" s="187"/>
      <c r="P692" s="187">
        <f>O687</f>
        <v>97.27272727272728</v>
      </c>
      <c r="Q692" s="187">
        <f>(I692+P692)/2</f>
        <v>98.63636363636364</v>
      </c>
      <c r="R692" s="191" t="s">
        <v>361</v>
      </c>
      <c r="S692" s="579"/>
      <c r="T692" s="123"/>
    </row>
    <row r="693" spans="1:20" s="212" customFormat="1" x14ac:dyDescent="0.35">
      <c r="A693" s="576"/>
      <c r="B693" s="600"/>
      <c r="C693" s="502" t="s">
        <v>42</v>
      </c>
      <c r="D693" s="146" t="s">
        <v>90</v>
      </c>
      <c r="E693" s="114"/>
      <c r="F693" s="114"/>
      <c r="G693" s="114"/>
      <c r="H693" s="113"/>
      <c r="I693" s="113"/>
      <c r="J693" s="502" t="s">
        <v>42</v>
      </c>
      <c r="K693" s="146" t="s">
        <v>90</v>
      </c>
      <c r="L693" s="114"/>
      <c r="M693" s="119"/>
      <c r="N693" s="119"/>
      <c r="O693" s="113"/>
      <c r="P693" s="127"/>
      <c r="Q693" s="113"/>
      <c r="R693" s="114"/>
      <c r="S693" s="579"/>
      <c r="T693" s="211"/>
    </row>
    <row r="694" spans="1:20" s="212" customFormat="1" ht="47.25" customHeight="1" x14ac:dyDescent="0.35">
      <c r="A694" s="576"/>
      <c r="B694" s="600"/>
      <c r="C694" s="114" t="s">
        <v>43</v>
      </c>
      <c r="D694" s="116" t="s">
        <v>136</v>
      </c>
      <c r="E694" s="114" t="s">
        <v>25</v>
      </c>
      <c r="F694" s="114">
        <v>100</v>
      </c>
      <c r="G694" s="114">
        <v>100</v>
      </c>
      <c r="H694" s="509">
        <f t="shared" ref="H694:H695" si="46">IF(G694/F694*100&gt;100,100,G694/F694*100)</f>
        <v>100</v>
      </c>
      <c r="I694" s="114"/>
      <c r="J694" s="118" t="s">
        <v>43</v>
      </c>
      <c r="K694" s="116" t="s">
        <v>89</v>
      </c>
      <c r="L694" s="114" t="s">
        <v>38</v>
      </c>
      <c r="M694" s="114">
        <v>185</v>
      </c>
      <c r="N694" s="114">
        <v>185</v>
      </c>
      <c r="O694" s="115">
        <f>IF(N694/M694*100&gt;110,110,N694/M694*100)</f>
        <v>100</v>
      </c>
      <c r="P694" s="127"/>
      <c r="Q694" s="113"/>
      <c r="R694" s="114"/>
      <c r="S694" s="579"/>
      <c r="T694" s="211"/>
    </row>
    <row r="695" spans="1:20" s="212" customFormat="1" ht="84.75" customHeight="1" x14ac:dyDescent="0.35">
      <c r="A695" s="576"/>
      <c r="B695" s="600"/>
      <c r="C695" s="114" t="s">
        <v>137</v>
      </c>
      <c r="D695" s="116" t="s">
        <v>138</v>
      </c>
      <c r="E695" s="114" t="s">
        <v>25</v>
      </c>
      <c r="F695" s="114">
        <v>90</v>
      </c>
      <c r="G695" s="114">
        <v>90</v>
      </c>
      <c r="H695" s="509">
        <f t="shared" si="46"/>
        <v>100</v>
      </c>
      <c r="I695" s="114"/>
      <c r="J695" s="118"/>
      <c r="K695" s="116"/>
      <c r="L695" s="114"/>
      <c r="M695" s="119"/>
      <c r="N695" s="119"/>
      <c r="O695" s="115"/>
      <c r="P695" s="127"/>
      <c r="Q695" s="113"/>
      <c r="R695" s="114"/>
      <c r="S695" s="579"/>
      <c r="T695" s="211"/>
    </row>
    <row r="696" spans="1:20" s="124" customFormat="1" ht="40.5" customHeight="1" x14ac:dyDescent="0.35">
      <c r="A696" s="576"/>
      <c r="B696" s="600"/>
      <c r="C696" s="191"/>
      <c r="D696" s="183" t="s">
        <v>6</v>
      </c>
      <c r="E696" s="191"/>
      <c r="F696" s="184"/>
      <c r="G696" s="184"/>
      <c r="H696" s="187"/>
      <c r="I696" s="187">
        <f>(H694+H695)/2</f>
        <v>100</v>
      </c>
      <c r="J696" s="182"/>
      <c r="K696" s="183" t="s">
        <v>6</v>
      </c>
      <c r="L696" s="184"/>
      <c r="M696" s="188"/>
      <c r="N696" s="188"/>
      <c r="O696" s="187"/>
      <c r="P696" s="187">
        <f>O694</f>
        <v>100</v>
      </c>
      <c r="Q696" s="187">
        <f>(I696+P696)/2</f>
        <v>100</v>
      </c>
      <c r="R696" s="191" t="s">
        <v>31</v>
      </c>
      <c r="S696" s="579"/>
      <c r="T696" s="123"/>
    </row>
    <row r="697" spans="1:20" s="212" customFormat="1" ht="59.25" customHeight="1" x14ac:dyDescent="0.35">
      <c r="A697" s="576"/>
      <c r="B697" s="600"/>
      <c r="C697" s="502" t="s">
        <v>164</v>
      </c>
      <c r="D697" s="146" t="s">
        <v>211</v>
      </c>
      <c r="E697" s="114"/>
      <c r="F697" s="114"/>
      <c r="G697" s="114"/>
      <c r="H697" s="113"/>
      <c r="I697" s="113"/>
      <c r="J697" s="502" t="s">
        <v>164</v>
      </c>
      <c r="K697" s="146" t="str">
        <f>D697</f>
        <v>Реализация дополнительных общеразвивающих программ</v>
      </c>
      <c r="L697" s="114"/>
      <c r="M697" s="119"/>
      <c r="N697" s="119"/>
      <c r="O697" s="113"/>
      <c r="P697" s="127"/>
      <c r="Q697" s="113"/>
      <c r="R697" s="114"/>
      <c r="S697" s="579"/>
      <c r="T697" s="211"/>
    </row>
    <row r="698" spans="1:20" s="212" customFormat="1" ht="90.75" customHeight="1" x14ac:dyDescent="0.35">
      <c r="A698" s="576"/>
      <c r="B698" s="600"/>
      <c r="C698" s="114" t="s">
        <v>165</v>
      </c>
      <c r="D698" s="116" t="s">
        <v>138</v>
      </c>
      <c r="E698" s="114" t="s">
        <v>25</v>
      </c>
      <c r="F698" s="114">
        <v>90</v>
      </c>
      <c r="G698" s="114">
        <v>90</v>
      </c>
      <c r="H698" s="509">
        <f>IF(G698/F698*100&gt;100,100,G698/F698*100)</f>
        <v>100</v>
      </c>
      <c r="I698" s="114"/>
      <c r="J698" s="118" t="s">
        <v>165</v>
      </c>
      <c r="K698" s="116" t="s">
        <v>469</v>
      </c>
      <c r="L698" s="114" t="s">
        <v>339</v>
      </c>
      <c r="M698" s="114">
        <v>58752</v>
      </c>
      <c r="N698" s="114">
        <v>58752</v>
      </c>
      <c r="O698" s="115">
        <f>IF(N698/M698*100&gt;110,110,N698/M698*100)</f>
        <v>100</v>
      </c>
      <c r="P698" s="127"/>
      <c r="Q698" s="113"/>
      <c r="R698" s="114"/>
      <c r="S698" s="579"/>
      <c r="T698" s="211"/>
    </row>
    <row r="699" spans="1:20" s="124" customFormat="1" ht="40.5" customHeight="1" x14ac:dyDescent="0.35">
      <c r="A699" s="576"/>
      <c r="B699" s="600"/>
      <c r="C699" s="191"/>
      <c r="D699" s="183" t="s">
        <v>6</v>
      </c>
      <c r="E699" s="191"/>
      <c r="F699" s="184"/>
      <c r="G699" s="184"/>
      <c r="H699" s="187"/>
      <c r="I699" s="187">
        <f>H698</f>
        <v>100</v>
      </c>
      <c r="J699" s="182"/>
      <c r="K699" s="183" t="s">
        <v>6</v>
      </c>
      <c r="L699" s="184"/>
      <c r="M699" s="188"/>
      <c r="N699" s="188"/>
      <c r="O699" s="187"/>
      <c r="P699" s="187">
        <f>O698</f>
        <v>100</v>
      </c>
      <c r="Q699" s="187">
        <f>(I699+P699)/2</f>
        <v>100</v>
      </c>
      <c r="R699" s="191" t="s">
        <v>31</v>
      </c>
      <c r="S699" s="579"/>
      <c r="T699" s="123"/>
    </row>
    <row r="700" spans="1:20" s="212" customFormat="1" ht="78" customHeight="1" x14ac:dyDescent="0.35">
      <c r="A700" s="576">
        <v>49</v>
      </c>
      <c r="B700" s="600" t="s">
        <v>149</v>
      </c>
      <c r="C700" s="502" t="s">
        <v>12</v>
      </c>
      <c r="D700" s="146" t="s">
        <v>128</v>
      </c>
      <c r="E700" s="502"/>
      <c r="F700" s="502"/>
      <c r="G700" s="502"/>
      <c r="H700" s="113"/>
      <c r="I700" s="113"/>
      <c r="J700" s="502" t="s">
        <v>12</v>
      </c>
      <c r="K700" s="146" t="s">
        <v>128</v>
      </c>
      <c r="L700" s="114"/>
      <c r="M700" s="114"/>
      <c r="N700" s="114"/>
      <c r="O700" s="113"/>
      <c r="P700" s="127"/>
      <c r="Q700" s="113"/>
      <c r="R700" s="114"/>
      <c r="S700" s="579" t="s">
        <v>280</v>
      </c>
      <c r="T700" s="211"/>
    </row>
    <row r="701" spans="1:20" s="212" customFormat="1" ht="60" customHeight="1" x14ac:dyDescent="0.35">
      <c r="A701" s="576"/>
      <c r="B701" s="600"/>
      <c r="C701" s="114" t="s">
        <v>7</v>
      </c>
      <c r="D701" s="116" t="s">
        <v>129</v>
      </c>
      <c r="E701" s="114" t="s">
        <v>25</v>
      </c>
      <c r="F701" s="114">
        <v>100</v>
      </c>
      <c r="G701" s="114">
        <v>100</v>
      </c>
      <c r="H701" s="509">
        <f t="shared" ref="H701:H705" si="47">IF(G701/F701*100&gt;100,100,G701/F701*100)</f>
        <v>100</v>
      </c>
      <c r="I701" s="114"/>
      <c r="J701" s="114" t="s">
        <v>7</v>
      </c>
      <c r="K701" s="116" t="s">
        <v>89</v>
      </c>
      <c r="L701" s="114" t="s">
        <v>38</v>
      </c>
      <c r="M701" s="114">
        <v>240</v>
      </c>
      <c r="N701" s="114">
        <v>245</v>
      </c>
      <c r="O701" s="115">
        <f>IF(N701/M701*100&gt;110,110,N701/M701*100)</f>
        <v>102.08333333333333</v>
      </c>
      <c r="P701" s="127"/>
      <c r="Q701" s="113"/>
      <c r="R701" s="114"/>
      <c r="S701" s="579"/>
      <c r="T701" s="211"/>
    </row>
    <row r="702" spans="1:20" s="212" customFormat="1" x14ac:dyDescent="0.35">
      <c r="A702" s="576"/>
      <c r="B702" s="600"/>
      <c r="C702" s="114" t="s">
        <v>8</v>
      </c>
      <c r="D702" s="116" t="s">
        <v>561</v>
      </c>
      <c r="E702" s="114" t="s">
        <v>25</v>
      </c>
      <c r="F702" s="114">
        <v>100</v>
      </c>
      <c r="G702" s="114">
        <v>100</v>
      </c>
      <c r="H702" s="509">
        <f t="shared" si="47"/>
        <v>100</v>
      </c>
      <c r="I702" s="114"/>
      <c r="J702" s="114"/>
      <c r="K702" s="503"/>
      <c r="L702" s="114"/>
      <c r="M702" s="117"/>
      <c r="N702" s="117"/>
      <c r="O702" s="115"/>
      <c r="P702" s="127"/>
      <c r="Q702" s="113"/>
      <c r="R702" s="114"/>
      <c r="S702" s="579"/>
      <c r="T702" s="211"/>
    </row>
    <row r="703" spans="1:20" s="212" customFormat="1" ht="45.75" customHeight="1" x14ac:dyDescent="0.35">
      <c r="A703" s="576"/>
      <c r="B703" s="600"/>
      <c r="C703" s="114" t="s">
        <v>9</v>
      </c>
      <c r="D703" s="116" t="s">
        <v>468</v>
      </c>
      <c r="E703" s="114" t="s">
        <v>25</v>
      </c>
      <c r="F703" s="114">
        <v>100</v>
      </c>
      <c r="G703" s="114">
        <v>100</v>
      </c>
      <c r="H703" s="509">
        <f t="shared" si="47"/>
        <v>100</v>
      </c>
      <c r="I703" s="114"/>
      <c r="J703" s="118"/>
      <c r="K703" s="116"/>
      <c r="L703" s="114"/>
      <c r="M703" s="119"/>
      <c r="N703" s="119"/>
      <c r="O703" s="115"/>
      <c r="P703" s="127"/>
      <c r="Q703" s="113"/>
      <c r="R703" s="114"/>
      <c r="S703" s="579"/>
      <c r="T703" s="211"/>
    </row>
    <row r="704" spans="1:20" s="212" customFormat="1" ht="60" customHeight="1" x14ac:dyDescent="0.35">
      <c r="A704" s="576"/>
      <c r="B704" s="600"/>
      <c r="C704" s="114" t="s">
        <v>10</v>
      </c>
      <c r="D704" s="116" t="s">
        <v>88</v>
      </c>
      <c r="E704" s="114" t="s">
        <v>25</v>
      </c>
      <c r="F704" s="114">
        <v>90</v>
      </c>
      <c r="G704" s="114">
        <v>100</v>
      </c>
      <c r="H704" s="509">
        <f t="shared" si="47"/>
        <v>100</v>
      </c>
      <c r="I704" s="114"/>
      <c r="J704" s="118"/>
      <c r="K704" s="116"/>
      <c r="L704" s="114"/>
      <c r="M704" s="119"/>
      <c r="N704" s="119"/>
      <c r="O704" s="115"/>
      <c r="P704" s="127"/>
      <c r="Q704" s="113"/>
      <c r="R704" s="114"/>
      <c r="S704" s="579"/>
      <c r="T704" s="211"/>
    </row>
    <row r="705" spans="1:20" s="212" customFormat="1" ht="105" customHeight="1" x14ac:dyDescent="0.35">
      <c r="A705" s="576"/>
      <c r="B705" s="600"/>
      <c r="C705" s="114" t="s">
        <v>35</v>
      </c>
      <c r="D705" s="116" t="s">
        <v>130</v>
      </c>
      <c r="E705" s="114" t="s">
        <v>25</v>
      </c>
      <c r="F705" s="114">
        <v>100</v>
      </c>
      <c r="G705" s="114">
        <v>100</v>
      </c>
      <c r="H705" s="509">
        <f t="shared" si="47"/>
        <v>100</v>
      </c>
      <c r="I705" s="114"/>
      <c r="J705" s="118"/>
      <c r="K705" s="116"/>
      <c r="L705" s="114"/>
      <c r="M705" s="119"/>
      <c r="N705" s="119"/>
      <c r="O705" s="115"/>
      <c r="P705" s="127"/>
      <c r="Q705" s="113"/>
      <c r="R705" s="114"/>
      <c r="S705" s="579"/>
      <c r="T705" s="211"/>
    </row>
    <row r="706" spans="1:20" s="124" customFormat="1" ht="40.5" customHeight="1" x14ac:dyDescent="0.35">
      <c r="A706" s="576"/>
      <c r="B706" s="600"/>
      <c r="C706" s="191"/>
      <c r="D706" s="183" t="s">
        <v>6</v>
      </c>
      <c r="E706" s="191"/>
      <c r="F706" s="184"/>
      <c r="G706" s="184"/>
      <c r="H706" s="187"/>
      <c r="I706" s="187">
        <f>(H701+H702+H703+H704+H705)/5</f>
        <v>100</v>
      </c>
      <c r="J706" s="182"/>
      <c r="K706" s="183" t="s">
        <v>6</v>
      </c>
      <c r="L706" s="184"/>
      <c r="M706" s="188"/>
      <c r="N706" s="188"/>
      <c r="O706" s="187"/>
      <c r="P706" s="187">
        <f>O701</f>
        <v>102.08333333333333</v>
      </c>
      <c r="Q706" s="187">
        <f>(I706+P706)/2</f>
        <v>101.04166666666666</v>
      </c>
      <c r="R706" s="191" t="s">
        <v>31</v>
      </c>
      <c r="S706" s="579"/>
      <c r="T706" s="123"/>
    </row>
    <row r="707" spans="1:20" s="212" customFormat="1" ht="57.75" customHeight="1" x14ac:dyDescent="0.35">
      <c r="A707" s="576"/>
      <c r="B707" s="600"/>
      <c r="C707" s="502" t="s">
        <v>13</v>
      </c>
      <c r="D707" s="146" t="s">
        <v>131</v>
      </c>
      <c r="E707" s="114"/>
      <c r="F707" s="114"/>
      <c r="G707" s="114"/>
      <c r="H707" s="113"/>
      <c r="I707" s="113"/>
      <c r="J707" s="502" t="s">
        <v>13</v>
      </c>
      <c r="K707" s="146" t="s">
        <v>131</v>
      </c>
      <c r="L707" s="114"/>
      <c r="M707" s="119"/>
      <c r="N707" s="119"/>
      <c r="O707" s="113"/>
      <c r="P707" s="127"/>
      <c r="Q707" s="113"/>
      <c r="R707" s="114"/>
      <c r="S707" s="579"/>
      <c r="T707" s="211"/>
    </row>
    <row r="708" spans="1:20" s="212" customFormat="1" ht="77.25" customHeight="1" x14ac:dyDescent="0.35">
      <c r="A708" s="576"/>
      <c r="B708" s="600"/>
      <c r="C708" s="114" t="s">
        <v>14</v>
      </c>
      <c r="D708" s="116" t="s">
        <v>132</v>
      </c>
      <c r="E708" s="114" t="s">
        <v>25</v>
      </c>
      <c r="F708" s="114">
        <v>100</v>
      </c>
      <c r="G708" s="114">
        <v>100</v>
      </c>
      <c r="H708" s="509">
        <f t="shared" ref="H708:H712" si="48">IF(G708/F708*100&gt;100,100,G708/F708*100)</f>
        <v>100</v>
      </c>
      <c r="I708" s="114"/>
      <c r="J708" s="118" t="s">
        <v>14</v>
      </c>
      <c r="K708" s="116" t="s">
        <v>89</v>
      </c>
      <c r="L708" s="114" t="s">
        <v>38</v>
      </c>
      <c r="M708" s="114">
        <v>367</v>
      </c>
      <c r="N708" s="114">
        <v>370</v>
      </c>
      <c r="O708" s="115">
        <f>IF(N708/M708*100&gt;110,110,N708/M708*100)</f>
        <v>100.81743869209809</v>
      </c>
      <c r="P708" s="114"/>
      <c r="Q708" s="113"/>
      <c r="R708" s="114"/>
      <c r="S708" s="579"/>
      <c r="T708" s="211"/>
    </row>
    <row r="709" spans="1:20" s="212" customFormat="1" ht="36.75" customHeight="1" x14ac:dyDescent="0.35">
      <c r="A709" s="576"/>
      <c r="B709" s="600"/>
      <c r="C709" s="114" t="s">
        <v>15</v>
      </c>
      <c r="D709" s="116" t="s">
        <v>559</v>
      </c>
      <c r="E709" s="114" t="s">
        <v>25</v>
      </c>
      <c r="F709" s="114">
        <v>100</v>
      </c>
      <c r="G709" s="114">
        <v>100</v>
      </c>
      <c r="H709" s="509">
        <f t="shared" si="48"/>
        <v>100</v>
      </c>
      <c r="I709" s="114"/>
      <c r="J709" s="118"/>
      <c r="K709" s="116"/>
      <c r="L709" s="114"/>
      <c r="M709" s="119"/>
      <c r="N709" s="119"/>
      <c r="O709" s="115"/>
      <c r="P709" s="127"/>
      <c r="Q709" s="113"/>
      <c r="R709" s="114"/>
      <c r="S709" s="579"/>
      <c r="T709" s="211"/>
    </row>
    <row r="710" spans="1:20" s="212" customFormat="1" ht="60" customHeight="1" x14ac:dyDescent="0.35">
      <c r="A710" s="576"/>
      <c r="B710" s="600"/>
      <c r="C710" s="114" t="s">
        <v>39</v>
      </c>
      <c r="D710" s="116" t="s">
        <v>468</v>
      </c>
      <c r="E710" s="114" t="s">
        <v>25</v>
      </c>
      <c r="F710" s="114">
        <v>100</v>
      </c>
      <c r="G710" s="114">
        <v>100</v>
      </c>
      <c r="H710" s="509">
        <f t="shared" si="48"/>
        <v>100</v>
      </c>
      <c r="I710" s="114"/>
      <c r="J710" s="118"/>
      <c r="K710" s="116"/>
      <c r="L710" s="114"/>
      <c r="M710" s="119"/>
      <c r="N710" s="119"/>
      <c r="O710" s="115"/>
      <c r="P710" s="127"/>
      <c r="Q710" s="113"/>
      <c r="R710" s="114"/>
      <c r="S710" s="579"/>
      <c r="T710" s="211"/>
    </row>
    <row r="711" spans="1:20" s="212" customFormat="1" ht="84" customHeight="1" x14ac:dyDescent="0.35">
      <c r="A711" s="576"/>
      <c r="B711" s="600"/>
      <c r="C711" s="114" t="s">
        <v>45</v>
      </c>
      <c r="D711" s="116" t="s">
        <v>88</v>
      </c>
      <c r="E711" s="114" t="s">
        <v>25</v>
      </c>
      <c r="F711" s="114">
        <v>90</v>
      </c>
      <c r="G711" s="114">
        <v>100</v>
      </c>
      <c r="H711" s="509">
        <f t="shared" si="48"/>
        <v>100</v>
      </c>
      <c r="I711" s="114"/>
      <c r="J711" s="118"/>
      <c r="K711" s="116"/>
      <c r="L711" s="114"/>
      <c r="M711" s="119"/>
      <c r="N711" s="119"/>
      <c r="O711" s="115"/>
      <c r="P711" s="127"/>
      <c r="Q711" s="113"/>
      <c r="R711" s="114"/>
      <c r="S711" s="579"/>
      <c r="T711" s="211"/>
    </row>
    <row r="712" spans="1:20" s="212" customFormat="1" ht="121.5" customHeight="1" x14ac:dyDescent="0.35">
      <c r="A712" s="576"/>
      <c r="B712" s="600"/>
      <c r="C712" s="114" t="s">
        <v>66</v>
      </c>
      <c r="D712" s="116" t="s">
        <v>130</v>
      </c>
      <c r="E712" s="114" t="s">
        <v>25</v>
      </c>
      <c r="F712" s="114">
        <v>100</v>
      </c>
      <c r="G712" s="114">
        <v>100</v>
      </c>
      <c r="H712" s="509">
        <f t="shared" si="48"/>
        <v>100</v>
      </c>
      <c r="I712" s="114"/>
      <c r="J712" s="118"/>
      <c r="K712" s="116"/>
      <c r="L712" s="114"/>
      <c r="M712" s="119"/>
      <c r="N712" s="119"/>
      <c r="O712" s="115"/>
      <c r="P712" s="127"/>
      <c r="Q712" s="113"/>
      <c r="R712" s="114"/>
      <c r="S712" s="579"/>
      <c r="T712" s="211"/>
    </row>
    <row r="713" spans="1:20" s="124" customFormat="1" ht="40.5" customHeight="1" x14ac:dyDescent="0.35">
      <c r="A713" s="576"/>
      <c r="B713" s="600"/>
      <c r="C713" s="191"/>
      <c r="D713" s="183" t="s">
        <v>6</v>
      </c>
      <c r="E713" s="191"/>
      <c r="F713" s="184"/>
      <c r="G713" s="184"/>
      <c r="H713" s="187"/>
      <c r="I713" s="187">
        <f>(H708+H709+H710+H711+H712)/5</f>
        <v>100</v>
      </c>
      <c r="J713" s="182"/>
      <c r="K713" s="183" t="s">
        <v>6</v>
      </c>
      <c r="L713" s="184"/>
      <c r="M713" s="188"/>
      <c r="N713" s="188"/>
      <c r="O713" s="187"/>
      <c r="P713" s="187">
        <f>O708</f>
        <v>100.81743869209809</v>
      </c>
      <c r="Q713" s="187">
        <f>(I713+P713)/2</f>
        <v>100.40871934604905</v>
      </c>
      <c r="R713" s="191" t="s">
        <v>31</v>
      </c>
      <c r="S713" s="579"/>
      <c r="T713" s="123"/>
    </row>
    <row r="714" spans="1:20" s="212" customFormat="1" ht="60" customHeight="1" x14ac:dyDescent="0.35">
      <c r="A714" s="576"/>
      <c r="B714" s="600"/>
      <c r="C714" s="502" t="s">
        <v>28</v>
      </c>
      <c r="D714" s="146" t="s">
        <v>133</v>
      </c>
      <c r="E714" s="114"/>
      <c r="F714" s="114"/>
      <c r="G714" s="114"/>
      <c r="H714" s="113"/>
      <c r="I714" s="113"/>
      <c r="J714" s="502" t="s">
        <v>28</v>
      </c>
      <c r="K714" s="146" t="str">
        <f>D714</f>
        <v>Реализация основных общеобразовательных программ среднего общего образования</v>
      </c>
      <c r="L714" s="114"/>
      <c r="M714" s="119"/>
      <c r="N714" s="119"/>
      <c r="O714" s="113"/>
      <c r="P714" s="127"/>
      <c r="Q714" s="113"/>
      <c r="R714" s="114"/>
      <c r="S714" s="579"/>
      <c r="T714" s="211"/>
    </row>
    <row r="715" spans="1:20" s="212" customFormat="1" ht="69" customHeight="1" x14ac:dyDescent="0.35">
      <c r="A715" s="576"/>
      <c r="B715" s="600"/>
      <c r="C715" s="114" t="s">
        <v>29</v>
      </c>
      <c r="D715" s="116" t="s">
        <v>134</v>
      </c>
      <c r="E715" s="114" t="s">
        <v>25</v>
      </c>
      <c r="F715" s="114">
        <v>100</v>
      </c>
      <c r="G715" s="114">
        <v>100</v>
      </c>
      <c r="H715" s="509">
        <f t="shared" ref="H715:H719" si="49">IF(G715/F715*100&gt;100,100,G715/F715*100)</f>
        <v>100</v>
      </c>
      <c r="I715" s="114"/>
      <c r="J715" s="118" t="s">
        <v>29</v>
      </c>
      <c r="K715" s="116" t="s">
        <v>89</v>
      </c>
      <c r="L715" s="114" t="s">
        <v>38</v>
      </c>
      <c r="M715" s="114">
        <v>53</v>
      </c>
      <c r="N715" s="114">
        <v>51</v>
      </c>
      <c r="O715" s="115">
        <f>IF(N715/M715*100&gt;110,110,N715/M715*100)</f>
        <v>96.226415094339629</v>
      </c>
      <c r="P715" s="114"/>
      <c r="Q715" s="113"/>
      <c r="R715" s="114"/>
      <c r="S715" s="579"/>
      <c r="T715" s="211"/>
    </row>
    <row r="716" spans="1:20" s="212" customFormat="1" x14ac:dyDescent="0.35">
      <c r="A716" s="576"/>
      <c r="B716" s="600"/>
      <c r="C716" s="114" t="s">
        <v>30</v>
      </c>
      <c r="D716" s="116" t="s">
        <v>560</v>
      </c>
      <c r="E716" s="114" t="s">
        <v>25</v>
      </c>
      <c r="F716" s="114">
        <v>100</v>
      </c>
      <c r="G716" s="114">
        <v>100</v>
      </c>
      <c r="H716" s="509">
        <f t="shared" si="49"/>
        <v>100</v>
      </c>
      <c r="I716" s="114"/>
      <c r="J716" s="118"/>
      <c r="K716" s="116"/>
      <c r="L716" s="114"/>
      <c r="M716" s="119"/>
      <c r="N716" s="119"/>
      <c r="O716" s="115"/>
      <c r="P716" s="127"/>
      <c r="Q716" s="113"/>
      <c r="R716" s="114"/>
      <c r="S716" s="579"/>
      <c r="T716" s="211"/>
    </row>
    <row r="717" spans="1:20" s="212" customFormat="1" ht="53.25" customHeight="1" x14ac:dyDescent="0.35">
      <c r="A717" s="576"/>
      <c r="B717" s="600"/>
      <c r="C717" s="114" t="s">
        <v>52</v>
      </c>
      <c r="D717" s="116" t="s">
        <v>468</v>
      </c>
      <c r="E717" s="114" t="s">
        <v>25</v>
      </c>
      <c r="F717" s="114">
        <v>100</v>
      </c>
      <c r="G717" s="114">
        <v>100</v>
      </c>
      <c r="H717" s="509">
        <f t="shared" si="49"/>
        <v>100</v>
      </c>
      <c r="I717" s="114"/>
      <c r="J717" s="118"/>
      <c r="K717" s="116"/>
      <c r="L717" s="114"/>
      <c r="M717" s="119"/>
      <c r="N717" s="119"/>
      <c r="O717" s="115"/>
      <c r="P717" s="127"/>
      <c r="Q717" s="113"/>
      <c r="R717" s="114"/>
      <c r="S717" s="579"/>
      <c r="T717" s="211"/>
    </row>
    <row r="718" spans="1:20" s="212" customFormat="1" ht="69.75" customHeight="1" x14ac:dyDescent="0.35">
      <c r="A718" s="576"/>
      <c r="B718" s="600"/>
      <c r="C718" s="114" t="s">
        <v>53</v>
      </c>
      <c r="D718" s="116" t="s">
        <v>88</v>
      </c>
      <c r="E718" s="114" t="s">
        <v>25</v>
      </c>
      <c r="F718" s="114">
        <v>90</v>
      </c>
      <c r="G718" s="114">
        <v>100</v>
      </c>
      <c r="H718" s="509">
        <f t="shared" si="49"/>
        <v>100</v>
      </c>
      <c r="I718" s="114"/>
      <c r="J718" s="118"/>
      <c r="K718" s="116"/>
      <c r="L718" s="114"/>
      <c r="M718" s="119"/>
      <c r="N718" s="119"/>
      <c r="O718" s="115"/>
      <c r="P718" s="127"/>
      <c r="Q718" s="113"/>
      <c r="R718" s="114"/>
      <c r="S718" s="579"/>
      <c r="T718" s="211"/>
    </row>
    <row r="719" spans="1:20" s="212" customFormat="1" ht="123" customHeight="1" x14ac:dyDescent="0.35">
      <c r="A719" s="576"/>
      <c r="B719" s="600"/>
      <c r="C719" s="114" t="s">
        <v>135</v>
      </c>
      <c r="D719" s="116" t="s">
        <v>130</v>
      </c>
      <c r="E719" s="114" t="s">
        <v>25</v>
      </c>
      <c r="F719" s="114">
        <v>100</v>
      </c>
      <c r="G719" s="114">
        <v>100</v>
      </c>
      <c r="H719" s="509">
        <f t="shared" si="49"/>
        <v>100</v>
      </c>
      <c r="I719" s="114"/>
      <c r="J719" s="118"/>
      <c r="K719" s="116"/>
      <c r="L719" s="114"/>
      <c r="M719" s="119"/>
      <c r="N719" s="119"/>
      <c r="O719" s="115"/>
      <c r="P719" s="127"/>
      <c r="Q719" s="113"/>
      <c r="R719" s="114"/>
      <c r="S719" s="579"/>
      <c r="T719" s="211"/>
    </row>
    <row r="720" spans="1:20" s="124" customFormat="1" ht="40.5" customHeight="1" x14ac:dyDescent="0.35">
      <c r="A720" s="576"/>
      <c r="B720" s="600"/>
      <c r="C720" s="191"/>
      <c r="D720" s="183" t="s">
        <v>6</v>
      </c>
      <c r="E720" s="191"/>
      <c r="F720" s="184"/>
      <c r="G720" s="184"/>
      <c r="H720" s="187"/>
      <c r="I720" s="187">
        <f>(H715+H716+H717+H718+H719)/5</f>
        <v>100</v>
      </c>
      <c r="J720" s="182"/>
      <c r="K720" s="183" t="s">
        <v>6</v>
      </c>
      <c r="L720" s="184"/>
      <c r="M720" s="188"/>
      <c r="N720" s="188"/>
      <c r="O720" s="187"/>
      <c r="P720" s="187">
        <f>O715</f>
        <v>96.226415094339629</v>
      </c>
      <c r="Q720" s="187">
        <f>(I720+P720)/2</f>
        <v>98.113207547169822</v>
      </c>
      <c r="R720" s="191" t="s">
        <v>361</v>
      </c>
      <c r="S720" s="579"/>
      <c r="T720" s="123"/>
    </row>
    <row r="721" spans="1:20" s="212" customFormat="1" x14ac:dyDescent="0.35">
      <c r="A721" s="576"/>
      <c r="B721" s="600"/>
      <c r="C721" s="502" t="s">
        <v>42</v>
      </c>
      <c r="D721" s="146" t="s">
        <v>90</v>
      </c>
      <c r="E721" s="114"/>
      <c r="F721" s="114"/>
      <c r="G721" s="114"/>
      <c r="H721" s="113"/>
      <c r="I721" s="113"/>
      <c r="J721" s="502" t="s">
        <v>42</v>
      </c>
      <c r="K721" s="146" t="s">
        <v>90</v>
      </c>
      <c r="L721" s="114"/>
      <c r="M721" s="119"/>
      <c r="N721" s="119"/>
      <c r="O721" s="113"/>
      <c r="P721" s="127"/>
      <c r="Q721" s="113"/>
      <c r="R721" s="114"/>
      <c r="S721" s="579"/>
      <c r="T721" s="211"/>
    </row>
    <row r="722" spans="1:20" s="212" customFormat="1" ht="57.75" customHeight="1" x14ac:dyDescent="0.35">
      <c r="A722" s="576"/>
      <c r="B722" s="600"/>
      <c r="C722" s="114" t="s">
        <v>43</v>
      </c>
      <c r="D722" s="116" t="s">
        <v>136</v>
      </c>
      <c r="E722" s="114" t="s">
        <v>25</v>
      </c>
      <c r="F722" s="114">
        <v>100</v>
      </c>
      <c r="G722" s="114">
        <v>100</v>
      </c>
      <c r="H722" s="509">
        <f t="shared" ref="H722:H723" si="50">IF(G722/F722*100&gt;100,100,G722/F722*100)</f>
        <v>100</v>
      </c>
      <c r="I722" s="114"/>
      <c r="J722" s="118" t="s">
        <v>43</v>
      </c>
      <c r="K722" s="116" t="s">
        <v>89</v>
      </c>
      <c r="L722" s="114" t="s">
        <v>38</v>
      </c>
      <c r="M722" s="114">
        <v>51</v>
      </c>
      <c r="N722" s="114">
        <v>51</v>
      </c>
      <c r="O722" s="115">
        <f>IF(N722/M722*100&gt;110,110,N722/M722*100)</f>
        <v>100</v>
      </c>
      <c r="P722" s="127"/>
      <c r="Q722" s="113"/>
      <c r="R722" s="114"/>
      <c r="S722" s="579"/>
      <c r="T722" s="211"/>
    </row>
    <row r="723" spans="1:20" s="212" customFormat="1" ht="75.75" customHeight="1" x14ac:dyDescent="0.35">
      <c r="A723" s="576"/>
      <c r="B723" s="600"/>
      <c r="C723" s="114" t="s">
        <v>137</v>
      </c>
      <c r="D723" s="116" t="s">
        <v>138</v>
      </c>
      <c r="E723" s="114" t="s">
        <v>25</v>
      </c>
      <c r="F723" s="114">
        <v>90</v>
      </c>
      <c r="G723" s="114">
        <v>90</v>
      </c>
      <c r="H723" s="509">
        <f t="shared" si="50"/>
        <v>100</v>
      </c>
      <c r="I723" s="114"/>
      <c r="J723" s="118"/>
      <c r="K723" s="116"/>
      <c r="L723" s="114"/>
      <c r="M723" s="119"/>
      <c r="N723" s="119"/>
      <c r="O723" s="115"/>
      <c r="P723" s="127"/>
      <c r="Q723" s="113"/>
      <c r="R723" s="114"/>
      <c r="S723" s="579"/>
      <c r="T723" s="211"/>
    </row>
    <row r="724" spans="1:20" s="124" customFormat="1" ht="40.5" customHeight="1" x14ac:dyDescent="0.35">
      <c r="A724" s="576"/>
      <c r="B724" s="600"/>
      <c r="C724" s="191"/>
      <c r="D724" s="183" t="s">
        <v>6</v>
      </c>
      <c r="E724" s="191"/>
      <c r="F724" s="184"/>
      <c r="G724" s="184"/>
      <c r="H724" s="187"/>
      <c r="I724" s="187">
        <f>(H722+H723)/2</f>
        <v>100</v>
      </c>
      <c r="J724" s="182"/>
      <c r="K724" s="183" t="s">
        <v>6</v>
      </c>
      <c r="L724" s="184"/>
      <c r="M724" s="188"/>
      <c r="N724" s="188"/>
      <c r="O724" s="187"/>
      <c r="P724" s="187">
        <f>O722</f>
        <v>100</v>
      </c>
      <c r="Q724" s="187">
        <f>(I724+P724)/2</f>
        <v>100</v>
      </c>
      <c r="R724" s="191" t="s">
        <v>31</v>
      </c>
      <c r="S724" s="579"/>
      <c r="T724" s="123"/>
    </row>
    <row r="725" spans="1:20" s="212" customFormat="1" ht="48" customHeight="1" x14ac:dyDescent="0.35">
      <c r="A725" s="576"/>
      <c r="B725" s="600"/>
      <c r="C725" s="502" t="s">
        <v>164</v>
      </c>
      <c r="D725" s="146" t="s">
        <v>211</v>
      </c>
      <c r="E725" s="114"/>
      <c r="F725" s="114"/>
      <c r="G725" s="114"/>
      <c r="H725" s="113"/>
      <c r="I725" s="113"/>
      <c r="J725" s="502" t="s">
        <v>164</v>
      </c>
      <c r="K725" s="146" t="str">
        <f>D725</f>
        <v>Реализация дополнительных общеразвивающих программ</v>
      </c>
      <c r="L725" s="114"/>
      <c r="M725" s="119"/>
      <c r="N725" s="119"/>
      <c r="O725" s="113"/>
      <c r="P725" s="127"/>
      <c r="Q725" s="113"/>
      <c r="R725" s="114"/>
      <c r="S725" s="579"/>
      <c r="T725" s="211"/>
    </row>
    <row r="726" spans="1:20" s="212" customFormat="1" ht="87" customHeight="1" x14ac:dyDescent="0.35">
      <c r="A726" s="576"/>
      <c r="B726" s="600"/>
      <c r="C726" s="114" t="s">
        <v>165</v>
      </c>
      <c r="D726" s="116" t="s">
        <v>138</v>
      </c>
      <c r="E726" s="114" t="s">
        <v>25</v>
      </c>
      <c r="F726" s="114">
        <v>90</v>
      </c>
      <c r="G726" s="114">
        <v>90</v>
      </c>
      <c r="H726" s="509">
        <f>IF(G726/F726*100&gt;100,100,G726/F726*100)</f>
        <v>100</v>
      </c>
      <c r="I726" s="114"/>
      <c r="J726" s="118" t="s">
        <v>165</v>
      </c>
      <c r="K726" s="116" t="s">
        <v>469</v>
      </c>
      <c r="L726" s="114" t="s">
        <v>339</v>
      </c>
      <c r="M726" s="114">
        <v>48477</v>
      </c>
      <c r="N726" s="114">
        <v>48168</v>
      </c>
      <c r="O726" s="115">
        <f>IF(N726/M726*100&gt;110,110,N726/M726*100)</f>
        <v>99.36258431833653</v>
      </c>
      <c r="P726" s="127"/>
      <c r="Q726" s="113"/>
      <c r="R726" s="114"/>
      <c r="S726" s="579"/>
      <c r="T726" s="211"/>
    </row>
    <row r="727" spans="1:20" s="124" customFormat="1" ht="42.75" customHeight="1" x14ac:dyDescent="0.35">
      <c r="A727" s="576"/>
      <c r="B727" s="600"/>
      <c r="C727" s="191"/>
      <c r="D727" s="183" t="s">
        <v>6</v>
      </c>
      <c r="E727" s="191"/>
      <c r="F727" s="184"/>
      <c r="G727" s="184"/>
      <c r="H727" s="187"/>
      <c r="I727" s="187">
        <f>H726</f>
        <v>100</v>
      </c>
      <c r="J727" s="182"/>
      <c r="K727" s="183" t="s">
        <v>6</v>
      </c>
      <c r="L727" s="184"/>
      <c r="M727" s="188"/>
      <c r="N727" s="188"/>
      <c r="O727" s="187"/>
      <c r="P727" s="187">
        <f>O726</f>
        <v>99.36258431833653</v>
      </c>
      <c r="Q727" s="187">
        <f>(I727+P727)/2</f>
        <v>99.681292159168265</v>
      </c>
      <c r="R727" s="191" t="s">
        <v>361</v>
      </c>
      <c r="S727" s="579"/>
      <c r="T727" s="123"/>
    </row>
    <row r="728" spans="1:20" s="212" customFormat="1" ht="59.25" customHeight="1" x14ac:dyDescent="0.35">
      <c r="A728" s="576">
        <v>50</v>
      </c>
      <c r="B728" s="600" t="s">
        <v>150</v>
      </c>
      <c r="C728" s="502" t="s">
        <v>12</v>
      </c>
      <c r="D728" s="146" t="s">
        <v>128</v>
      </c>
      <c r="E728" s="502"/>
      <c r="F728" s="502"/>
      <c r="G728" s="502"/>
      <c r="H728" s="113"/>
      <c r="I728" s="113"/>
      <c r="J728" s="502" t="s">
        <v>12</v>
      </c>
      <c r="K728" s="146" t="s">
        <v>128</v>
      </c>
      <c r="L728" s="114"/>
      <c r="M728" s="114"/>
      <c r="N728" s="114"/>
      <c r="O728" s="113"/>
      <c r="P728" s="127"/>
      <c r="Q728" s="113"/>
      <c r="R728" s="114"/>
      <c r="S728" s="579" t="s">
        <v>280</v>
      </c>
      <c r="T728" s="211"/>
    </row>
    <row r="729" spans="1:20" s="212" customFormat="1" ht="59.25" customHeight="1" x14ac:dyDescent="0.35">
      <c r="A729" s="576"/>
      <c r="B729" s="600"/>
      <c r="C729" s="114" t="s">
        <v>7</v>
      </c>
      <c r="D729" s="116" t="s">
        <v>129</v>
      </c>
      <c r="E729" s="114" t="s">
        <v>25</v>
      </c>
      <c r="F729" s="114">
        <v>100</v>
      </c>
      <c r="G729" s="114">
        <v>100</v>
      </c>
      <c r="H729" s="509">
        <f t="shared" ref="H729:H733" si="51">IF(G729/F729*100&gt;100,100,G729/F729*100)</f>
        <v>100</v>
      </c>
      <c r="I729" s="114"/>
      <c r="J729" s="114" t="s">
        <v>7</v>
      </c>
      <c r="K729" s="116" t="s">
        <v>89</v>
      </c>
      <c r="L729" s="114" t="s">
        <v>38</v>
      </c>
      <c r="M729" s="114">
        <v>271</v>
      </c>
      <c r="N729" s="114">
        <v>267</v>
      </c>
      <c r="O729" s="115">
        <f>IF(N729/M729*100&gt;110,110,N729/M729*100)</f>
        <v>98.523985239852394</v>
      </c>
      <c r="P729" s="127"/>
      <c r="Q729" s="113"/>
      <c r="R729" s="114"/>
      <c r="S729" s="579"/>
      <c r="T729" s="211"/>
    </row>
    <row r="730" spans="1:20" s="212" customFormat="1" ht="45" customHeight="1" x14ac:dyDescent="0.35">
      <c r="A730" s="576"/>
      <c r="B730" s="600"/>
      <c r="C730" s="114" t="s">
        <v>8</v>
      </c>
      <c r="D730" s="116" t="s">
        <v>561</v>
      </c>
      <c r="E730" s="114" t="s">
        <v>25</v>
      </c>
      <c r="F730" s="114">
        <v>100</v>
      </c>
      <c r="G730" s="114">
        <v>100</v>
      </c>
      <c r="H730" s="509">
        <f t="shared" si="51"/>
        <v>100</v>
      </c>
      <c r="I730" s="114"/>
      <c r="J730" s="114"/>
      <c r="K730" s="503"/>
      <c r="L730" s="114"/>
      <c r="M730" s="117"/>
      <c r="N730" s="117"/>
      <c r="O730" s="115"/>
      <c r="P730" s="127"/>
      <c r="Q730" s="113"/>
      <c r="R730" s="114"/>
      <c r="S730" s="579"/>
      <c r="T730" s="211"/>
    </row>
    <row r="731" spans="1:20" s="212" customFormat="1" ht="48" customHeight="1" x14ac:dyDescent="0.35">
      <c r="A731" s="576"/>
      <c r="B731" s="600"/>
      <c r="C731" s="114" t="s">
        <v>9</v>
      </c>
      <c r="D731" s="116" t="s">
        <v>468</v>
      </c>
      <c r="E731" s="114" t="s">
        <v>25</v>
      </c>
      <c r="F731" s="114">
        <v>100</v>
      </c>
      <c r="G731" s="114">
        <v>100</v>
      </c>
      <c r="H731" s="509">
        <f t="shared" si="51"/>
        <v>100</v>
      </c>
      <c r="I731" s="114"/>
      <c r="J731" s="118"/>
      <c r="K731" s="116"/>
      <c r="L731" s="114"/>
      <c r="M731" s="119"/>
      <c r="N731" s="119"/>
      <c r="O731" s="115"/>
      <c r="P731" s="127"/>
      <c r="Q731" s="113"/>
      <c r="R731" s="114"/>
      <c r="S731" s="579"/>
      <c r="T731" s="211"/>
    </row>
    <row r="732" spans="1:20" s="212" customFormat="1" ht="69" customHeight="1" x14ac:dyDescent="0.35">
      <c r="A732" s="576"/>
      <c r="B732" s="600"/>
      <c r="C732" s="114" t="s">
        <v>10</v>
      </c>
      <c r="D732" s="116" t="s">
        <v>88</v>
      </c>
      <c r="E732" s="114" t="s">
        <v>25</v>
      </c>
      <c r="F732" s="114">
        <v>90</v>
      </c>
      <c r="G732" s="114">
        <v>100</v>
      </c>
      <c r="H732" s="509">
        <f t="shared" si="51"/>
        <v>100</v>
      </c>
      <c r="I732" s="114"/>
      <c r="J732" s="118"/>
      <c r="K732" s="116"/>
      <c r="L732" s="114"/>
      <c r="M732" s="119"/>
      <c r="N732" s="119"/>
      <c r="O732" s="115"/>
      <c r="P732" s="127"/>
      <c r="Q732" s="113"/>
      <c r="R732" s="114"/>
      <c r="S732" s="579"/>
      <c r="T732" s="211"/>
    </row>
    <row r="733" spans="1:20" s="212" customFormat="1" ht="132" customHeight="1" x14ac:dyDescent="0.35">
      <c r="A733" s="576"/>
      <c r="B733" s="600"/>
      <c r="C733" s="114" t="s">
        <v>35</v>
      </c>
      <c r="D733" s="116" t="s">
        <v>130</v>
      </c>
      <c r="E733" s="114" t="s">
        <v>25</v>
      </c>
      <c r="F733" s="114">
        <v>100</v>
      </c>
      <c r="G733" s="114">
        <v>100</v>
      </c>
      <c r="H733" s="509">
        <f t="shared" si="51"/>
        <v>100</v>
      </c>
      <c r="I733" s="114"/>
      <c r="J733" s="118"/>
      <c r="K733" s="116"/>
      <c r="L733" s="114"/>
      <c r="M733" s="119"/>
      <c r="N733" s="119"/>
      <c r="O733" s="115"/>
      <c r="P733" s="127"/>
      <c r="Q733" s="113"/>
      <c r="R733" s="114"/>
      <c r="S733" s="579"/>
      <c r="T733" s="211"/>
    </row>
    <row r="734" spans="1:20" s="124" customFormat="1" ht="40.5" customHeight="1" x14ac:dyDescent="0.35">
      <c r="A734" s="576"/>
      <c r="B734" s="600"/>
      <c r="C734" s="191"/>
      <c r="D734" s="183" t="s">
        <v>6</v>
      </c>
      <c r="E734" s="191"/>
      <c r="F734" s="184"/>
      <c r="G734" s="184"/>
      <c r="H734" s="187"/>
      <c r="I734" s="187">
        <f>(H729+H730+H731+H732+H733)/5</f>
        <v>100</v>
      </c>
      <c r="J734" s="182"/>
      <c r="K734" s="183" t="s">
        <v>6</v>
      </c>
      <c r="L734" s="184"/>
      <c r="M734" s="188"/>
      <c r="N734" s="188"/>
      <c r="O734" s="187"/>
      <c r="P734" s="187">
        <f>O729</f>
        <v>98.523985239852394</v>
      </c>
      <c r="Q734" s="187">
        <f>(I734+P734)/2</f>
        <v>99.26199261992619</v>
      </c>
      <c r="R734" s="191" t="s">
        <v>361</v>
      </c>
      <c r="S734" s="579"/>
      <c r="T734" s="123"/>
    </row>
    <row r="735" spans="1:20" s="212" customFormat="1" ht="60" customHeight="1" x14ac:dyDescent="0.35">
      <c r="A735" s="576"/>
      <c r="B735" s="600"/>
      <c r="C735" s="502" t="s">
        <v>13</v>
      </c>
      <c r="D735" s="146" t="s">
        <v>131</v>
      </c>
      <c r="E735" s="114"/>
      <c r="F735" s="114"/>
      <c r="G735" s="114"/>
      <c r="H735" s="113"/>
      <c r="I735" s="113"/>
      <c r="J735" s="502" t="s">
        <v>13</v>
      </c>
      <c r="K735" s="146" t="s">
        <v>131</v>
      </c>
      <c r="L735" s="114"/>
      <c r="M735" s="119"/>
      <c r="N735" s="119"/>
      <c r="O735" s="113"/>
      <c r="P735" s="127"/>
      <c r="Q735" s="113"/>
      <c r="R735" s="114"/>
      <c r="S735" s="579"/>
      <c r="T735" s="211"/>
    </row>
    <row r="736" spans="1:20" s="212" customFormat="1" ht="78" customHeight="1" x14ac:dyDescent="0.35">
      <c r="A736" s="576"/>
      <c r="B736" s="600"/>
      <c r="C736" s="114" t="s">
        <v>14</v>
      </c>
      <c r="D736" s="116" t="s">
        <v>132</v>
      </c>
      <c r="E736" s="114" t="s">
        <v>25</v>
      </c>
      <c r="F736" s="114">
        <v>100</v>
      </c>
      <c r="G736" s="114">
        <v>100</v>
      </c>
      <c r="H736" s="509">
        <f t="shared" ref="H736:H740" si="52">IF(G736/F736*100&gt;100,100,G736/F736*100)</f>
        <v>100</v>
      </c>
      <c r="I736" s="114"/>
      <c r="J736" s="118" t="s">
        <v>14</v>
      </c>
      <c r="K736" s="116" t="s">
        <v>89</v>
      </c>
      <c r="L736" s="114" t="s">
        <v>38</v>
      </c>
      <c r="M736" s="114">
        <v>362</v>
      </c>
      <c r="N736" s="114">
        <v>364</v>
      </c>
      <c r="O736" s="115">
        <f>IF(N736/M736*100&gt;110,110,N736/M736*100)</f>
        <v>100.55248618784532</v>
      </c>
      <c r="P736" s="114"/>
      <c r="Q736" s="113"/>
      <c r="R736" s="114"/>
      <c r="S736" s="579"/>
      <c r="T736" s="211"/>
    </row>
    <row r="737" spans="1:20" s="212" customFormat="1" ht="32.25" customHeight="1" x14ac:dyDescent="0.35">
      <c r="A737" s="576"/>
      <c r="B737" s="600"/>
      <c r="C737" s="114" t="s">
        <v>15</v>
      </c>
      <c r="D737" s="116" t="s">
        <v>559</v>
      </c>
      <c r="E737" s="114" t="s">
        <v>25</v>
      </c>
      <c r="F737" s="114">
        <v>100</v>
      </c>
      <c r="G737" s="114">
        <v>100</v>
      </c>
      <c r="H737" s="509">
        <f t="shared" si="52"/>
        <v>100</v>
      </c>
      <c r="I737" s="114"/>
      <c r="J737" s="118"/>
      <c r="K737" s="116"/>
      <c r="L737" s="114"/>
      <c r="M737" s="119"/>
      <c r="N737" s="119"/>
      <c r="O737" s="115"/>
      <c r="P737" s="127"/>
      <c r="Q737" s="113"/>
      <c r="R737" s="114"/>
      <c r="S737" s="579"/>
      <c r="T737" s="211"/>
    </row>
    <row r="738" spans="1:20" s="212" customFormat="1" ht="49.5" customHeight="1" x14ac:dyDescent="0.35">
      <c r="A738" s="576"/>
      <c r="B738" s="600"/>
      <c r="C738" s="114" t="s">
        <v>39</v>
      </c>
      <c r="D738" s="116" t="s">
        <v>468</v>
      </c>
      <c r="E738" s="114" t="s">
        <v>25</v>
      </c>
      <c r="F738" s="114">
        <v>100</v>
      </c>
      <c r="G738" s="114">
        <v>100</v>
      </c>
      <c r="H738" s="509">
        <f t="shared" si="52"/>
        <v>100</v>
      </c>
      <c r="I738" s="114"/>
      <c r="J738" s="118"/>
      <c r="K738" s="116"/>
      <c r="L738" s="114"/>
      <c r="M738" s="119"/>
      <c r="N738" s="119"/>
      <c r="O738" s="115"/>
      <c r="P738" s="127"/>
      <c r="Q738" s="113"/>
      <c r="R738" s="114"/>
      <c r="S738" s="579"/>
      <c r="T738" s="211"/>
    </row>
    <row r="739" spans="1:20" s="212" customFormat="1" ht="76.5" customHeight="1" x14ac:dyDescent="0.35">
      <c r="A739" s="576"/>
      <c r="B739" s="600"/>
      <c r="C739" s="114" t="s">
        <v>45</v>
      </c>
      <c r="D739" s="116" t="s">
        <v>88</v>
      </c>
      <c r="E739" s="114" t="s">
        <v>25</v>
      </c>
      <c r="F739" s="114">
        <v>90</v>
      </c>
      <c r="G739" s="114">
        <v>100</v>
      </c>
      <c r="H739" s="509">
        <f t="shared" si="52"/>
        <v>100</v>
      </c>
      <c r="I739" s="114"/>
      <c r="J739" s="118"/>
      <c r="K739" s="116"/>
      <c r="L739" s="114"/>
      <c r="M739" s="119"/>
      <c r="N739" s="119"/>
      <c r="O739" s="115"/>
      <c r="P739" s="127"/>
      <c r="Q739" s="113"/>
      <c r="R739" s="114"/>
      <c r="S739" s="579"/>
      <c r="T739" s="211"/>
    </row>
    <row r="740" spans="1:20" s="212" customFormat="1" ht="123.75" customHeight="1" x14ac:dyDescent="0.35">
      <c r="A740" s="576"/>
      <c r="B740" s="600"/>
      <c r="C740" s="114" t="s">
        <v>66</v>
      </c>
      <c r="D740" s="116" t="s">
        <v>130</v>
      </c>
      <c r="E740" s="114" t="s">
        <v>25</v>
      </c>
      <c r="F740" s="114">
        <v>100</v>
      </c>
      <c r="G740" s="114">
        <v>100</v>
      </c>
      <c r="H740" s="509">
        <f t="shared" si="52"/>
        <v>100</v>
      </c>
      <c r="I740" s="114"/>
      <c r="J740" s="118"/>
      <c r="K740" s="116"/>
      <c r="L740" s="114"/>
      <c r="M740" s="119"/>
      <c r="N740" s="119"/>
      <c r="O740" s="115"/>
      <c r="P740" s="127"/>
      <c r="Q740" s="113"/>
      <c r="R740" s="114"/>
      <c r="S740" s="579"/>
      <c r="T740" s="211"/>
    </row>
    <row r="741" spans="1:20" s="124" customFormat="1" ht="40.5" customHeight="1" x14ac:dyDescent="0.35">
      <c r="A741" s="576"/>
      <c r="B741" s="600"/>
      <c r="C741" s="191"/>
      <c r="D741" s="183" t="s">
        <v>6</v>
      </c>
      <c r="E741" s="191"/>
      <c r="F741" s="184"/>
      <c r="G741" s="184"/>
      <c r="H741" s="187"/>
      <c r="I741" s="187">
        <f>(H736+H737+H738+H739+H740)/5</f>
        <v>100</v>
      </c>
      <c r="J741" s="182"/>
      <c r="K741" s="183" t="s">
        <v>6</v>
      </c>
      <c r="L741" s="184"/>
      <c r="M741" s="188"/>
      <c r="N741" s="188"/>
      <c r="O741" s="187"/>
      <c r="P741" s="187">
        <f>O736</f>
        <v>100.55248618784532</v>
      </c>
      <c r="Q741" s="187">
        <f>(I741+P741)/2</f>
        <v>100.27624309392266</v>
      </c>
      <c r="R741" s="191" t="s">
        <v>31</v>
      </c>
      <c r="S741" s="579"/>
      <c r="T741" s="123"/>
    </row>
    <row r="742" spans="1:20" s="212" customFormat="1" ht="61.5" customHeight="1" x14ac:dyDescent="0.35">
      <c r="A742" s="576"/>
      <c r="B742" s="600"/>
      <c r="C742" s="502" t="s">
        <v>28</v>
      </c>
      <c r="D742" s="146" t="s">
        <v>133</v>
      </c>
      <c r="E742" s="114"/>
      <c r="F742" s="114"/>
      <c r="G742" s="114"/>
      <c r="H742" s="113"/>
      <c r="I742" s="113"/>
      <c r="J742" s="502" t="s">
        <v>28</v>
      </c>
      <c r="K742" s="146" t="str">
        <f>D742</f>
        <v>Реализация основных общеобразовательных программ среднего общего образования</v>
      </c>
      <c r="L742" s="114"/>
      <c r="M742" s="119"/>
      <c r="N742" s="119"/>
      <c r="O742" s="113"/>
      <c r="P742" s="127"/>
      <c r="Q742" s="113"/>
      <c r="R742" s="114"/>
      <c r="S742" s="579"/>
      <c r="T742" s="211"/>
    </row>
    <row r="743" spans="1:20" s="212" customFormat="1" ht="70.5" customHeight="1" x14ac:dyDescent="0.35">
      <c r="A743" s="576"/>
      <c r="B743" s="600"/>
      <c r="C743" s="114" t="s">
        <v>29</v>
      </c>
      <c r="D743" s="116" t="s">
        <v>134</v>
      </c>
      <c r="E743" s="114" t="s">
        <v>25</v>
      </c>
      <c r="F743" s="114">
        <v>100</v>
      </c>
      <c r="G743" s="114">
        <v>100</v>
      </c>
      <c r="H743" s="509">
        <f t="shared" ref="H743:H747" si="53">IF(G743/F743*100&gt;100,100,G743/F743*100)</f>
        <v>100</v>
      </c>
      <c r="I743" s="114"/>
      <c r="J743" s="118" t="s">
        <v>29</v>
      </c>
      <c r="K743" s="116" t="s">
        <v>89</v>
      </c>
      <c r="L743" s="114" t="s">
        <v>38</v>
      </c>
      <c r="M743" s="114">
        <v>71</v>
      </c>
      <c r="N743" s="114">
        <v>70</v>
      </c>
      <c r="O743" s="115">
        <f>IF(N743/M743*100&gt;110,110,N743/M743*100)</f>
        <v>98.591549295774655</v>
      </c>
      <c r="P743" s="114"/>
      <c r="Q743" s="113"/>
      <c r="R743" s="114"/>
      <c r="S743" s="579"/>
      <c r="T743" s="211"/>
    </row>
    <row r="744" spans="1:20" s="212" customFormat="1" ht="27.75" customHeight="1" x14ac:dyDescent="0.35">
      <c r="A744" s="576"/>
      <c r="B744" s="600"/>
      <c r="C744" s="114" t="s">
        <v>30</v>
      </c>
      <c r="D744" s="116" t="s">
        <v>560</v>
      </c>
      <c r="E744" s="114" t="s">
        <v>25</v>
      </c>
      <c r="F744" s="114">
        <v>100</v>
      </c>
      <c r="G744" s="114">
        <v>100</v>
      </c>
      <c r="H744" s="509">
        <f t="shared" si="53"/>
        <v>100</v>
      </c>
      <c r="I744" s="114"/>
      <c r="J744" s="118"/>
      <c r="K744" s="116"/>
      <c r="L744" s="114"/>
      <c r="M744" s="119"/>
      <c r="N744" s="119"/>
      <c r="O744" s="115"/>
      <c r="P744" s="127"/>
      <c r="Q744" s="113"/>
      <c r="R744" s="114"/>
      <c r="S744" s="579"/>
      <c r="T744" s="211"/>
    </row>
    <row r="745" spans="1:20" s="212" customFormat="1" ht="57.75" customHeight="1" x14ac:dyDescent="0.35">
      <c r="A745" s="576"/>
      <c r="B745" s="600"/>
      <c r="C745" s="114" t="s">
        <v>52</v>
      </c>
      <c r="D745" s="116" t="s">
        <v>468</v>
      </c>
      <c r="E745" s="114" t="s">
        <v>25</v>
      </c>
      <c r="F745" s="114">
        <v>100</v>
      </c>
      <c r="G745" s="114">
        <v>100</v>
      </c>
      <c r="H745" s="509">
        <f t="shared" si="53"/>
        <v>100</v>
      </c>
      <c r="I745" s="114"/>
      <c r="J745" s="118"/>
      <c r="K745" s="116"/>
      <c r="L745" s="114"/>
      <c r="M745" s="119"/>
      <c r="N745" s="119"/>
      <c r="O745" s="115"/>
      <c r="P745" s="127"/>
      <c r="Q745" s="113"/>
      <c r="R745" s="114"/>
      <c r="S745" s="579"/>
      <c r="T745" s="211"/>
    </row>
    <row r="746" spans="1:20" s="212" customFormat="1" ht="71.25" customHeight="1" x14ac:dyDescent="0.35">
      <c r="A746" s="576"/>
      <c r="B746" s="600"/>
      <c r="C746" s="114" t="s">
        <v>53</v>
      </c>
      <c r="D746" s="116" t="s">
        <v>88</v>
      </c>
      <c r="E746" s="114" t="s">
        <v>25</v>
      </c>
      <c r="F746" s="114">
        <v>90</v>
      </c>
      <c r="G746" s="114">
        <v>100</v>
      </c>
      <c r="H746" s="509">
        <f t="shared" si="53"/>
        <v>100</v>
      </c>
      <c r="I746" s="114"/>
      <c r="J746" s="118"/>
      <c r="K746" s="116"/>
      <c r="L746" s="114"/>
      <c r="M746" s="119"/>
      <c r="N746" s="119"/>
      <c r="O746" s="115"/>
      <c r="P746" s="127"/>
      <c r="Q746" s="113"/>
      <c r="R746" s="114"/>
      <c r="S746" s="579"/>
      <c r="T746" s="211"/>
    </row>
    <row r="747" spans="1:20" s="212" customFormat="1" ht="123" customHeight="1" x14ac:dyDescent="0.35">
      <c r="A747" s="576"/>
      <c r="B747" s="600"/>
      <c r="C747" s="114" t="s">
        <v>135</v>
      </c>
      <c r="D747" s="116" t="s">
        <v>130</v>
      </c>
      <c r="E747" s="114" t="s">
        <v>25</v>
      </c>
      <c r="F747" s="114">
        <v>100</v>
      </c>
      <c r="G747" s="114">
        <v>100</v>
      </c>
      <c r="H747" s="509">
        <f t="shared" si="53"/>
        <v>100</v>
      </c>
      <c r="I747" s="114"/>
      <c r="J747" s="118"/>
      <c r="K747" s="116"/>
      <c r="L747" s="114"/>
      <c r="M747" s="119"/>
      <c r="N747" s="119"/>
      <c r="O747" s="115"/>
      <c r="P747" s="127"/>
      <c r="Q747" s="113"/>
      <c r="R747" s="114"/>
      <c r="S747" s="579"/>
      <c r="T747" s="211"/>
    </row>
    <row r="748" spans="1:20" s="124" customFormat="1" ht="40.5" customHeight="1" x14ac:dyDescent="0.35">
      <c r="A748" s="576"/>
      <c r="B748" s="600"/>
      <c r="C748" s="191"/>
      <c r="D748" s="183" t="s">
        <v>6</v>
      </c>
      <c r="E748" s="191"/>
      <c r="F748" s="184"/>
      <c r="G748" s="184"/>
      <c r="H748" s="187"/>
      <c r="I748" s="187">
        <f>(H743+H744+H745+H746+H747)/5</f>
        <v>100</v>
      </c>
      <c r="J748" s="182"/>
      <c r="K748" s="183" t="s">
        <v>6</v>
      </c>
      <c r="L748" s="184"/>
      <c r="M748" s="188"/>
      <c r="N748" s="188"/>
      <c r="O748" s="187"/>
      <c r="P748" s="187">
        <f>O743</f>
        <v>98.591549295774655</v>
      </c>
      <c r="Q748" s="187">
        <f>(I748+P748)/2</f>
        <v>99.295774647887328</v>
      </c>
      <c r="R748" s="191" t="s">
        <v>361</v>
      </c>
      <c r="S748" s="579"/>
      <c r="T748" s="123"/>
    </row>
    <row r="749" spans="1:20" s="212" customFormat="1" ht="45" customHeight="1" x14ac:dyDescent="0.35">
      <c r="A749" s="576"/>
      <c r="B749" s="600"/>
      <c r="C749" s="502" t="s">
        <v>42</v>
      </c>
      <c r="D749" s="146" t="s">
        <v>90</v>
      </c>
      <c r="E749" s="114"/>
      <c r="F749" s="114"/>
      <c r="G749" s="114"/>
      <c r="H749" s="113"/>
      <c r="I749" s="113"/>
      <c r="J749" s="502" t="s">
        <v>42</v>
      </c>
      <c r="K749" s="146" t="s">
        <v>90</v>
      </c>
      <c r="L749" s="114"/>
      <c r="M749" s="119"/>
      <c r="N749" s="119"/>
      <c r="O749" s="113"/>
      <c r="P749" s="127"/>
      <c r="Q749" s="113"/>
      <c r="R749" s="114"/>
      <c r="S749" s="579"/>
      <c r="T749" s="211"/>
    </row>
    <row r="750" spans="1:20" s="212" customFormat="1" ht="45" customHeight="1" x14ac:dyDescent="0.35">
      <c r="A750" s="576"/>
      <c r="B750" s="600"/>
      <c r="C750" s="114" t="s">
        <v>43</v>
      </c>
      <c r="D750" s="116" t="s">
        <v>136</v>
      </c>
      <c r="E750" s="114" t="s">
        <v>25</v>
      </c>
      <c r="F750" s="114">
        <v>100</v>
      </c>
      <c r="G750" s="114">
        <v>100</v>
      </c>
      <c r="H750" s="509">
        <f t="shared" ref="H750:H751" si="54">IF(G750/F750*100&gt;100,100,G750/F750*100)</f>
        <v>100</v>
      </c>
      <c r="I750" s="114"/>
      <c r="J750" s="118" t="s">
        <v>43</v>
      </c>
      <c r="K750" s="116" t="s">
        <v>89</v>
      </c>
      <c r="L750" s="114" t="s">
        <v>38</v>
      </c>
      <c r="M750" s="114">
        <v>72</v>
      </c>
      <c r="N750" s="114">
        <v>72</v>
      </c>
      <c r="O750" s="115">
        <f>IF(N750/M750*100&gt;110,110,N750/M750*100)</f>
        <v>100</v>
      </c>
      <c r="P750" s="127"/>
      <c r="Q750" s="113"/>
      <c r="R750" s="114"/>
      <c r="S750" s="579"/>
      <c r="T750" s="211"/>
    </row>
    <row r="751" spans="1:20" s="212" customFormat="1" ht="84" customHeight="1" x14ac:dyDescent="0.35">
      <c r="A751" s="576"/>
      <c r="B751" s="600"/>
      <c r="C751" s="114" t="s">
        <v>137</v>
      </c>
      <c r="D751" s="116" t="s">
        <v>138</v>
      </c>
      <c r="E751" s="114" t="s">
        <v>25</v>
      </c>
      <c r="F751" s="114">
        <v>90</v>
      </c>
      <c r="G751" s="114">
        <v>90</v>
      </c>
      <c r="H751" s="509">
        <f t="shared" si="54"/>
        <v>100</v>
      </c>
      <c r="I751" s="114"/>
      <c r="J751" s="118"/>
      <c r="K751" s="116"/>
      <c r="L751" s="114"/>
      <c r="M751" s="119"/>
      <c r="N751" s="119"/>
      <c r="O751" s="115"/>
      <c r="P751" s="127"/>
      <c r="Q751" s="113"/>
      <c r="R751" s="114"/>
      <c r="S751" s="579"/>
      <c r="T751" s="211"/>
    </row>
    <row r="752" spans="1:20" s="124" customFormat="1" ht="40.5" customHeight="1" x14ac:dyDescent="0.35">
      <c r="A752" s="576"/>
      <c r="B752" s="600"/>
      <c r="C752" s="191"/>
      <c r="D752" s="183" t="s">
        <v>6</v>
      </c>
      <c r="E752" s="191"/>
      <c r="F752" s="184"/>
      <c r="G752" s="184"/>
      <c r="H752" s="187"/>
      <c r="I752" s="187">
        <f>(H750+H751)/2</f>
        <v>100</v>
      </c>
      <c r="J752" s="182"/>
      <c r="K752" s="183" t="s">
        <v>6</v>
      </c>
      <c r="L752" s="184"/>
      <c r="M752" s="188"/>
      <c r="N752" s="188"/>
      <c r="O752" s="187"/>
      <c r="P752" s="187">
        <f>O750</f>
        <v>100</v>
      </c>
      <c r="Q752" s="187">
        <f>(I752+P752)/2</f>
        <v>100</v>
      </c>
      <c r="R752" s="191" t="s">
        <v>31</v>
      </c>
      <c r="S752" s="579"/>
      <c r="T752" s="123"/>
    </row>
    <row r="753" spans="1:20" s="212" customFormat="1" ht="51" customHeight="1" x14ac:dyDescent="0.35">
      <c r="A753" s="576"/>
      <c r="B753" s="600"/>
      <c r="C753" s="502" t="s">
        <v>164</v>
      </c>
      <c r="D753" s="146" t="s">
        <v>211</v>
      </c>
      <c r="E753" s="114"/>
      <c r="F753" s="114"/>
      <c r="G753" s="114"/>
      <c r="H753" s="113"/>
      <c r="I753" s="113"/>
      <c r="J753" s="502" t="s">
        <v>164</v>
      </c>
      <c r="K753" s="146" t="str">
        <f>D753</f>
        <v>Реализация дополнительных общеразвивающих программ</v>
      </c>
      <c r="L753" s="114"/>
      <c r="M753" s="119"/>
      <c r="N753" s="119"/>
      <c r="O753" s="113"/>
      <c r="P753" s="127"/>
      <c r="Q753" s="113"/>
      <c r="R753" s="114"/>
      <c r="S753" s="579"/>
      <c r="T753" s="211"/>
    </row>
    <row r="754" spans="1:20" s="212" customFormat="1" ht="81.75" customHeight="1" x14ac:dyDescent="0.35">
      <c r="A754" s="576"/>
      <c r="B754" s="600"/>
      <c r="C754" s="114" t="s">
        <v>165</v>
      </c>
      <c r="D754" s="116" t="s">
        <v>138</v>
      </c>
      <c r="E754" s="114" t="s">
        <v>25</v>
      </c>
      <c r="F754" s="114">
        <v>90</v>
      </c>
      <c r="G754" s="114">
        <v>90</v>
      </c>
      <c r="H754" s="509">
        <f>IF(G754/F754*100&gt;100,100,G754/F754*100)</f>
        <v>100</v>
      </c>
      <c r="I754" s="114"/>
      <c r="J754" s="118" t="s">
        <v>165</v>
      </c>
      <c r="K754" s="116" t="s">
        <v>469</v>
      </c>
      <c r="L754" s="114" t="s">
        <v>339</v>
      </c>
      <c r="M754" s="114">
        <v>44064</v>
      </c>
      <c r="N754" s="114">
        <v>44127</v>
      </c>
      <c r="O754" s="115">
        <f>IF(N754/M754*100&gt;110,110,N754/M754*100)</f>
        <v>100.14297385620917</v>
      </c>
      <c r="P754" s="127"/>
      <c r="Q754" s="113"/>
      <c r="R754" s="114"/>
      <c r="S754" s="579"/>
      <c r="T754" s="211"/>
    </row>
    <row r="755" spans="1:20" s="124" customFormat="1" ht="40.5" customHeight="1" x14ac:dyDescent="0.35">
      <c r="A755" s="576"/>
      <c r="B755" s="600"/>
      <c r="C755" s="191"/>
      <c r="D755" s="183" t="s">
        <v>6</v>
      </c>
      <c r="E755" s="191"/>
      <c r="F755" s="184"/>
      <c r="G755" s="184"/>
      <c r="H755" s="187"/>
      <c r="I755" s="187">
        <f>H754</f>
        <v>100</v>
      </c>
      <c r="J755" s="182"/>
      <c r="K755" s="183" t="s">
        <v>6</v>
      </c>
      <c r="L755" s="184"/>
      <c r="M755" s="188"/>
      <c r="N755" s="188"/>
      <c r="O755" s="187"/>
      <c r="P755" s="187">
        <f>O754</f>
        <v>100.14297385620917</v>
      </c>
      <c r="Q755" s="187">
        <f>(I755+P755)/2</f>
        <v>100.07148692810458</v>
      </c>
      <c r="R755" s="191" t="s">
        <v>31</v>
      </c>
      <c r="S755" s="579"/>
      <c r="T755" s="123"/>
    </row>
    <row r="756" spans="1:20" s="212" customFormat="1" ht="59.25" customHeight="1" x14ac:dyDescent="0.35">
      <c r="A756" s="576">
        <v>51</v>
      </c>
      <c r="B756" s="600" t="s">
        <v>151</v>
      </c>
      <c r="C756" s="502" t="s">
        <v>12</v>
      </c>
      <c r="D756" s="146" t="s">
        <v>128</v>
      </c>
      <c r="E756" s="502"/>
      <c r="F756" s="502"/>
      <c r="G756" s="502"/>
      <c r="H756" s="113"/>
      <c r="I756" s="113"/>
      <c r="J756" s="502" t="s">
        <v>12</v>
      </c>
      <c r="K756" s="146" t="s">
        <v>128</v>
      </c>
      <c r="L756" s="114"/>
      <c r="M756" s="114"/>
      <c r="N756" s="114"/>
      <c r="O756" s="113"/>
      <c r="P756" s="127"/>
      <c r="Q756" s="113"/>
      <c r="R756" s="114"/>
      <c r="S756" s="579" t="s">
        <v>279</v>
      </c>
      <c r="T756" s="211"/>
    </row>
    <row r="757" spans="1:20" s="212" customFormat="1" ht="71.25" customHeight="1" x14ac:dyDescent="0.35">
      <c r="A757" s="576"/>
      <c r="B757" s="600"/>
      <c r="C757" s="114" t="s">
        <v>7</v>
      </c>
      <c r="D757" s="116" t="s">
        <v>129</v>
      </c>
      <c r="E757" s="114" t="s">
        <v>25</v>
      </c>
      <c r="F757" s="114">
        <v>100</v>
      </c>
      <c r="G757" s="114">
        <v>100</v>
      </c>
      <c r="H757" s="509">
        <f t="shared" ref="H757:H761" si="55">IF(G757/F757*100&gt;100,100,G757/F757*100)</f>
        <v>100</v>
      </c>
      <c r="I757" s="114"/>
      <c r="J757" s="114" t="s">
        <v>7</v>
      </c>
      <c r="K757" s="116" t="s">
        <v>89</v>
      </c>
      <c r="L757" s="114" t="s">
        <v>38</v>
      </c>
      <c r="M757" s="114">
        <v>402</v>
      </c>
      <c r="N757" s="114">
        <v>406</v>
      </c>
      <c r="O757" s="115">
        <f>IF(N757/M757*100&gt;110,110,N757/M757*100)</f>
        <v>100.99502487562188</v>
      </c>
      <c r="P757" s="127"/>
      <c r="Q757" s="113"/>
      <c r="R757" s="114"/>
      <c r="S757" s="579"/>
      <c r="T757" s="211"/>
    </row>
    <row r="758" spans="1:20" s="212" customFormat="1" x14ac:dyDescent="0.35">
      <c r="A758" s="576"/>
      <c r="B758" s="600"/>
      <c r="C758" s="114" t="s">
        <v>8</v>
      </c>
      <c r="D758" s="116" t="s">
        <v>561</v>
      </c>
      <c r="E758" s="114" t="s">
        <v>25</v>
      </c>
      <c r="F758" s="114">
        <v>100</v>
      </c>
      <c r="G758" s="114">
        <v>100</v>
      </c>
      <c r="H758" s="509">
        <f t="shared" si="55"/>
        <v>100</v>
      </c>
      <c r="I758" s="114"/>
      <c r="J758" s="114"/>
      <c r="K758" s="503"/>
      <c r="L758" s="114"/>
      <c r="M758" s="117"/>
      <c r="N758" s="117"/>
      <c r="O758" s="115"/>
      <c r="P758" s="127"/>
      <c r="Q758" s="113"/>
      <c r="R758" s="114"/>
      <c r="S758" s="579"/>
      <c r="T758" s="211"/>
    </row>
    <row r="759" spans="1:20" s="212" customFormat="1" ht="43.5" customHeight="1" x14ac:dyDescent="0.35">
      <c r="A759" s="576"/>
      <c r="B759" s="600"/>
      <c r="C759" s="114" t="s">
        <v>9</v>
      </c>
      <c r="D759" s="116" t="s">
        <v>468</v>
      </c>
      <c r="E759" s="114" t="s">
        <v>25</v>
      </c>
      <c r="F759" s="114">
        <v>100</v>
      </c>
      <c r="G759" s="114">
        <v>100</v>
      </c>
      <c r="H759" s="509">
        <f t="shared" si="55"/>
        <v>100</v>
      </c>
      <c r="I759" s="114"/>
      <c r="J759" s="118"/>
      <c r="K759" s="116"/>
      <c r="L759" s="114"/>
      <c r="M759" s="119"/>
      <c r="N759" s="119"/>
      <c r="O759" s="115"/>
      <c r="P759" s="127"/>
      <c r="Q759" s="113"/>
      <c r="R759" s="114"/>
      <c r="S759" s="579"/>
      <c r="T759" s="211"/>
    </row>
    <row r="760" spans="1:20" s="212" customFormat="1" ht="75" customHeight="1" x14ac:dyDescent="0.35">
      <c r="A760" s="576"/>
      <c r="B760" s="600"/>
      <c r="C760" s="114" t="s">
        <v>10</v>
      </c>
      <c r="D760" s="116" t="s">
        <v>88</v>
      </c>
      <c r="E760" s="114" t="s">
        <v>25</v>
      </c>
      <c r="F760" s="114">
        <v>90</v>
      </c>
      <c r="G760" s="114">
        <v>100</v>
      </c>
      <c r="H760" s="509">
        <f t="shared" si="55"/>
        <v>100</v>
      </c>
      <c r="I760" s="114"/>
      <c r="J760" s="118"/>
      <c r="K760" s="116"/>
      <c r="L760" s="114"/>
      <c r="M760" s="119"/>
      <c r="N760" s="119"/>
      <c r="O760" s="115"/>
      <c r="P760" s="127"/>
      <c r="Q760" s="113"/>
      <c r="R760" s="114"/>
      <c r="S760" s="579"/>
      <c r="T760" s="211"/>
    </row>
    <row r="761" spans="1:20" s="212" customFormat="1" ht="114.75" customHeight="1" x14ac:dyDescent="0.35">
      <c r="A761" s="576"/>
      <c r="B761" s="600"/>
      <c r="C761" s="114" t="s">
        <v>35</v>
      </c>
      <c r="D761" s="116" t="s">
        <v>130</v>
      </c>
      <c r="E761" s="114" t="s">
        <v>25</v>
      </c>
      <c r="F761" s="114">
        <v>100</v>
      </c>
      <c r="G761" s="114">
        <v>100</v>
      </c>
      <c r="H761" s="509">
        <f t="shared" si="55"/>
        <v>100</v>
      </c>
      <c r="I761" s="114"/>
      <c r="J761" s="118"/>
      <c r="K761" s="116"/>
      <c r="L761" s="114"/>
      <c r="M761" s="119"/>
      <c r="N761" s="119"/>
      <c r="O761" s="115"/>
      <c r="P761" s="127"/>
      <c r="Q761" s="113"/>
      <c r="R761" s="114"/>
      <c r="S761" s="579"/>
      <c r="T761" s="211"/>
    </row>
    <row r="762" spans="1:20" s="124" customFormat="1" ht="40.5" customHeight="1" x14ac:dyDescent="0.35">
      <c r="A762" s="576"/>
      <c r="B762" s="600"/>
      <c r="C762" s="191"/>
      <c r="D762" s="183" t="s">
        <v>6</v>
      </c>
      <c r="E762" s="191"/>
      <c r="F762" s="184"/>
      <c r="G762" s="184"/>
      <c r="H762" s="187"/>
      <c r="I762" s="187">
        <f>(H757+H758+H759+H760+H761)/5</f>
        <v>100</v>
      </c>
      <c r="J762" s="182"/>
      <c r="K762" s="183" t="s">
        <v>6</v>
      </c>
      <c r="L762" s="184"/>
      <c r="M762" s="188"/>
      <c r="N762" s="188"/>
      <c r="O762" s="187"/>
      <c r="P762" s="187">
        <f>O757</f>
        <v>100.99502487562188</v>
      </c>
      <c r="Q762" s="187">
        <f>(I762+P762)/2</f>
        <v>100.49751243781094</v>
      </c>
      <c r="R762" s="191" t="s">
        <v>31</v>
      </c>
      <c r="S762" s="579"/>
      <c r="T762" s="123"/>
    </row>
    <row r="763" spans="1:20" s="212" customFormat="1" ht="63" customHeight="1" x14ac:dyDescent="0.35">
      <c r="A763" s="576"/>
      <c r="B763" s="600"/>
      <c r="C763" s="502" t="s">
        <v>13</v>
      </c>
      <c r="D763" s="146" t="s">
        <v>131</v>
      </c>
      <c r="E763" s="114"/>
      <c r="F763" s="114"/>
      <c r="G763" s="114"/>
      <c r="H763" s="113"/>
      <c r="I763" s="113"/>
      <c r="J763" s="502" t="s">
        <v>13</v>
      </c>
      <c r="K763" s="146" t="s">
        <v>131</v>
      </c>
      <c r="L763" s="114"/>
      <c r="M763" s="119"/>
      <c r="N763" s="119"/>
      <c r="O763" s="113"/>
      <c r="P763" s="127"/>
      <c r="Q763" s="113"/>
      <c r="R763" s="114"/>
      <c r="S763" s="579"/>
      <c r="T763" s="211"/>
    </row>
    <row r="764" spans="1:20" s="212" customFormat="1" ht="72.75" customHeight="1" x14ac:dyDescent="0.35">
      <c r="A764" s="576"/>
      <c r="B764" s="600"/>
      <c r="C764" s="114" t="s">
        <v>14</v>
      </c>
      <c r="D764" s="116" t="s">
        <v>132</v>
      </c>
      <c r="E764" s="114" t="s">
        <v>25</v>
      </c>
      <c r="F764" s="114">
        <v>100</v>
      </c>
      <c r="G764" s="114">
        <v>100</v>
      </c>
      <c r="H764" s="509">
        <f t="shared" ref="H764:H768" si="56">IF(G764/F764*100&gt;100,100,G764/F764*100)</f>
        <v>100</v>
      </c>
      <c r="I764" s="114"/>
      <c r="J764" s="118" t="s">
        <v>14</v>
      </c>
      <c r="K764" s="116" t="s">
        <v>89</v>
      </c>
      <c r="L764" s="114" t="s">
        <v>38</v>
      </c>
      <c r="M764" s="114">
        <v>470</v>
      </c>
      <c r="N764" s="114">
        <v>470</v>
      </c>
      <c r="O764" s="115">
        <f>IF(N764/M764*100&gt;110,110,N764/M764*100)</f>
        <v>100</v>
      </c>
      <c r="P764" s="114"/>
      <c r="Q764" s="113"/>
      <c r="R764" s="114"/>
      <c r="S764" s="579"/>
      <c r="T764" s="211"/>
    </row>
    <row r="765" spans="1:20" s="212" customFormat="1" x14ac:dyDescent="0.35">
      <c r="A765" s="576"/>
      <c r="B765" s="600"/>
      <c r="C765" s="114" t="s">
        <v>15</v>
      </c>
      <c r="D765" s="116" t="s">
        <v>559</v>
      </c>
      <c r="E765" s="114" t="s">
        <v>25</v>
      </c>
      <c r="F765" s="114">
        <v>100</v>
      </c>
      <c r="G765" s="114">
        <v>100</v>
      </c>
      <c r="H765" s="509">
        <f t="shared" si="56"/>
        <v>100</v>
      </c>
      <c r="I765" s="114"/>
      <c r="J765" s="118"/>
      <c r="K765" s="116"/>
      <c r="L765" s="114"/>
      <c r="M765" s="119"/>
      <c r="N765" s="119"/>
      <c r="O765" s="115"/>
      <c r="P765" s="127"/>
      <c r="Q765" s="113"/>
      <c r="R765" s="114"/>
      <c r="S765" s="579"/>
      <c r="T765" s="211"/>
    </row>
    <row r="766" spans="1:20" s="212" customFormat="1" ht="42.75" customHeight="1" x14ac:dyDescent="0.35">
      <c r="A766" s="576"/>
      <c r="B766" s="600"/>
      <c r="C766" s="114" t="s">
        <v>39</v>
      </c>
      <c r="D766" s="116" t="s">
        <v>468</v>
      </c>
      <c r="E766" s="114" t="s">
        <v>25</v>
      </c>
      <c r="F766" s="114">
        <v>100</v>
      </c>
      <c r="G766" s="114">
        <v>100</v>
      </c>
      <c r="H766" s="509">
        <f t="shared" si="56"/>
        <v>100</v>
      </c>
      <c r="I766" s="114"/>
      <c r="J766" s="118"/>
      <c r="K766" s="116"/>
      <c r="L766" s="114"/>
      <c r="M766" s="119"/>
      <c r="N766" s="119"/>
      <c r="O766" s="115"/>
      <c r="P766" s="127"/>
      <c r="Q766" s="113"/>
      <c r="R766" s="114"/>
      <c r="S766" s="579"/>
      <c r="T766" s="211"/>
    </row>
    <row r="767" spans="1:20" s="212" customFormat="1" ht="74.25" customHeight="1" x14ac:dyDescent="0.35">
      <c r="A767" s="576"/>
      <c r="B767" s="600"/>
      <c r="C767" s="114" t="s">
        <v>45</v>
      </c>
      <c r="D767" s="116" t="s">
        <v>88</v>
      </c>
      <c r="E767" s="114" t="s">
        <v>25</v>
      </c>
      <c r="F767" s="114">
        <v>90</v>
      </c>
      <c r="G767" s="114">
        <v>100</v>
      </c>
      <c r="H767" s="509">
        <f t="shared" si="56"/>
        <v>100</v>
      </c>
      <c r="I767" s="114"/>
      <c r="J767" s="118"/>
      <c r="K767" s="116"/>
      <c r="L767" s="114"/>
      <c r="M767" s="119"/>
      <c r="N767" s="119"/>
      <c r="O767" s="115"/>
      <c r="P767" s="127"/>
      <c r="Q767" s="113"/>
      <c r="R767" s="114"/>
      <c r="S767" s="579"/>
      <c r="T767" s="211"/>
    </row>
    <row r="768" spans="1:20" s="212" customFormat="1" ht="126" customHeight="1" x14ac:dyDescent="0.35">
      <c r="A768" s="576"/>
      <c r="B768" s="600"/>
      <c r="C768" s="114" t="s">
        <v>66</v>
      </c>
      <c r="D768" s="116" t="s">
        <v>130</v>
      </c>
      <c r="E768" s="114" t="s">
        <v>25</v>
      </c>
      <c r="F768" s="114">
        <v>100</v>
      </c>
      <c r="G768" s="114">
        <v>100</v>
      </c>
      <c r="H768" s="509">
        <f t="shared" si="56"/>
        <v>100</v>
      </c>
      <c r="I768" s="114"/>
      <c r="J768" s="118"/>
      <c r="K768" s="116"/>
      <c r="L768" s="114"/>
      <c r="M768" s="119"/>
      <c r="N768" s="119"/>
      <c r="O768" s="115"/>
      <c r="P768" s="127"/>
      <c r="Q768" s="113"/>
      <c r="R768" s="114"/>
      <c r="S768" s="579"/>
      <c r="T768" s="211"/>
    </row>
    <row r="769" spans="1:20" s="124" customFormat="1" ht="40.5" customHeight="1" x14ac:dyDescent="0.35">
      <c r="A769" s="576"/>
      <c r="B769" s="600"/>
      <c r="C769" s="191"/>
      <c r="D769" s="183" t="s">
        <v>6</v>
      </c>
      <c r="E769" s="191"/>
      <c r="F769" s="184"/>
      <c r="G769" s="184"/>
      <c r="H769" s="187"/>
      <c r="I769" s="187">
        <f>(H764+H765+H766+H767+H768)/5</f>
        <v>100</v>
      </c>
      <c r="J769" s="182"/>
      <c r="K769" s="183" t="s">
        <v>6</v>
      </c>
      <c r="L769" s="184"/>
      <c r="M769" s="188"/>
      <c r="N769" s="188"/>
      <c r="O769" s="187"/>
      <c r="P769" s="187">
        <f>O764</f>
        <v>100</v>
      </c>
      <c r="Q769" s="187">
        <f>(I769+P769)/2</f>
        <v>100</v>
      </c>
      <c r="R769" s="191" t="s">
        <v>31</v>
      </c>
      <c r="S769" s="579"/>
      <c r="T769" s="123"/>
    </row>
    <row r="770" spans="1:20" s="212" customFormat="1" ht="57" customHeight="1" x14ac:dyDescent="0.35">
      <c r="A770" s="576"/>
      <c r="B770" s="600"/>
      <c r="C770" s="502" t="s">
        <v>28</v>
      </c>
      <c r="D770" s="146" t="s">
        <v>133</v>
      </c>
      <c r="E770" s="114"/>
      <c r="F770" s="114"/>
      <c r="G770" s="114"/>
      <c r="H770" s="113"/>
      <c r="I770" s="113"/>
      <c r="J770" s="502" t="s">
        <v>28</v>
      </c>
      <c r="K770" s="146" t="str">
        <f>D770</f>
        <v>Реализация основных общеобразовательных программ среднего общего образования</v>
      </c>
      <c r="L770" s="114"/>
      <c r="M770" s="119"/>
      <c r="N770" s="119"/>
      <c r="O770" s="113"/>
      <c r="P770" s="127"/>
      <c r="Q770" s="113"/>
      <c r="R770" s="114"/>
      <c r="S770" s="579"/>
      <c r="T770" s="211"/>
    </row>
    <row r="771" spans="1:20" s="212" customFormat="1" ht="60" customHeight="1" x14ac:dyDescent="0.35">
      <c r="A771" s="576"/>
      <c r="B771" s="600"/>
      <c r="C771" s="114" t="s">
        <v>29</v>
      </c>
      <c r="D771" s="116" t="s">
        <v>134</v>
      </c>
      <c r="E771" s="114" t="s">
        <v>25</v>
      </c>
      <c r="F771" s="114">
        <v>100</v>
      </c>
      <c r="G771" s="114">
        <v>100</v>
      </c>
      <c r="H771" s="509">
        <f t="shared" ref="H771:H774" si="57">IF(G771/F771*100&gt;100,100,G771/F771*100)</f>
        <v>100</v>
      </c>
      <c r="I771" s="114"/>
      <c r="J771" s="118" t="s">
        <v>29</v>
      </c>
      <c r="K771" s="116" t="s">
        <v>89</v>
      </c>
      <c r="L771" s="114" t="s">
        <v>38</v>
      </c>
      <c r="M771" s="114">
        <v>72</v>
      </c>
      <c r="N771" s="114">
        <v>72</v>
      </c>
      <c r="O771" s="115">
        <f>IF(N771/M771*100&gt;110,110,N771/M771*100)</f>
        <v>100</v>
      </c>
      <c r="P771" s="114"/>
      <c r="Q771" s="113"/>
      <c r="R771" s="114"/>
      <c r="S771" s="579"/>
      <c r="T771" s="211"/>
    </row>
    <row r="772" spans="1:20" s="212" customFormat="1" x14ac:dyDescent="0.35">
      <c r="A772" s="576"/>
      <c r="B772" s="600"/>
      <c r="C772" s="114" t="s">
        <v>30</v>
      </c>
      <c r="D772" s="116" t="s">
        <v>560</v>
      </c>
      <c r="E772" s="114" t="s">
        <v>25</v>
      </c>
      <c r="F772" s="114">
        <v>100</v>
      </c>
      <c r="G772" s="114">
        <v>100</v>
      </c>
      <c r="H772" s="509">
        <f t="shared" si="57"/>
        <v>100</v>
      </c>
      <c r="I772" s="114"/>
      <c r="J772" s="118"/>
      <c r="K772" s="116"/>
      <c r="L772" s="114"/>
      <c r="M772" s="119"/>
      <c r="N772" s="119"/>
      <c r="O772" s="115"/>
      <c r="P772" s="127"/>
      <c r="Q772" s="113"/>
      <c r="R772" s="114"/>
      <c r="S772" s="579"/>
      <c r="T772" s="211"/>
    </row>
    <row r="773" spans="1:20" s="212" customFormat="1" ht="54" customHeight="1" x14ac:dyDescent="0.35">
      <c r="A773" s="576"/>
      <c r="B773" s="600"/>
      <c r="C773" s="114" t="s">
        <v>52</v>
      </c>
      <c r="D773" s="116" t="s">
        <v>468</v>
      </c>
      <c r="E773" s="114" t="s">
        <v>25</v>
      </c>
      <c r="F773" s="114">
        <v>100</v>
      </c>
      <c r="G773" s="114">
        <v>100</v>
      </c>
      <c r="H773" s="509">
        <f t="shared" si="57"/>
        <v>100</v>
      </c>
      <c r="I773" s="114"/>
      <c r="J773" s="118"/>
      <c r="K773" s="116"/>
      <c r="L773" s="114"/>
      <c r="M773" s="119"/>
      <c r="N773" s="119"/>
      <c r="O773" s="115"/>
      <c r="P773" s="127"/>
      <c r="Q773" s="113"/>
      <c r="R773" s="114"/>
      <c r="S773" s="579"/>
      <c r="T773" s="211"/>
    </row>
    <row r="774" spans="1:20" s="212" customFormat="1" ht="68.25" customHeight="1" x14ac:dyDescent="0.35">
      <c r="A774" s="576"/>
      <c r="B774" s="600"/>
      <c r="C774" s="114" t="s">
        <v>53</v>
      </c>
      <c r="D774" s="116" t="s">
        <v>88</v>
      </c>
      <c r="E774" s="114" t="s">
        <v>25</v>
      </c>
      <c r="F774" s="114">
        <v>90</v>
      </c>
      <c r="G774" s="114">
        <v>100</v>
      </c>
      <c r="H774" s="509">
        <f t="shared" si="57"/>
        <v>100</v>
      </c>
      <c r="I774" s="114"/>
      <c r="J774" s="118"/>
      <c r="K774" s="116"/>
      <c r="L774" s="114"/>
      <c r="M774" s="119"/>
      <c r="N774" s="119"/>
      <c r="O774" s="115"/>
      <c r="P774" s="127"/>
      <c r="Q774" s="113"/>
      <c r="R774" s="114"/>
      <c r="S774" s="579"/>
      <c r="T774" s="211"/>
    </row>
    <row r="775" spans="1:20" s="212" customFormat="1" ht="121.5" customHeight="1" x14ac:dyDescent="0.35">
      <c r="A775" s="576"/>
      <c r="B775" s="600"/>
      <c r="C775" s="114" t="s">
        <v>135</v>
      </c>
      <c r="D775" s="116" t="s">
        <v>130</v>
      </c>
      <c r="E775" s="114" t="s">
        <v>25</v>
      </c>
      <c r="F775" s="114">
        <v>100</v>
      </c>
      <c r="G775" s="114">
        <v>100</v>
      </c>
      <c r="H775" s="509">
        <f>IF(G775/F775*100&gt;100,100,G775/F775*100)</f>
        <v>100</v>
      </c>
      <c r="I775" s="114"/>
      <c r="J775" s="118"/>
      <c r="K775" s="116"/>
      <c r="L775" s="114"/>
      <c r="M775" s="119"/>
      <c r="N775" s="119"/>
      <c r="O775" s="115"/>
      <c r="P775" s="127"/>
      <c r="Q775" s="113"/>
      <c r="R775" s="114"/>
      <c r="S775" s="579"/>
      <c r="T775" s="211"/>
    </row>
    <row r="776" spans="1:20" s="124" customFormat="1" ht="40.5" customHeight="1" x14ac:dyDescent="0.35">
      <c r="A776" s="576"/>
      <c r="B776" s="600"/>
      <c r="C776" s="191"/>
      <c r="D776" s="183" t="s">
        <v>6</v>
      </c>
      <c r="E776" s="191"/>
      <c r="F776" s="184"/>
      <c r="G776" s="184"/>
      <c r="H776" s="187"/>
      <c r="I776" s="187">
        <f>(H771+H772+H773+H774+H775)/5</f>
        <v>100</v>
      </c>
      <c r="J776" s="182"/>
      <c r="K776" s="183" t="s">
        <v>6</v>
      </c>
      <c r="L776" s="184"/>
      <c r="M776" s="188"/>
      <c r="N776" s="188"/>
      <c r="O776" s="187"/>
      <c r="P776" s="187">
        <f>O771</f>
        <v>100</v>
      </c>
      <c r="Q776" s="187">
        <f>(I776+P776)/2</f>
        <v>100</v>
      </c>
      <c r="R776" s="191" t="s">
        <v>31</v>
      </c>
      <c r="S776" s="579"/>
      <c r="T776" s="123"/>
    </row>
    <row r="777" spans="1:20" s="212" customFormat="1" x14ac:dyDescent="0.35">
      <c r="A777" s="576"/>
      <c r="B777" s="600"/>
      <c r="C777" s="502" t="s">
        <v>42</v>
      </c>
      <c r="D777" s="146" t="s">
        <v>90</v>
      </c>
      <c r="E777" s="114"/>
      <c r="F777" s="114"/>
      <c r="G777" s="114"/>
      <c r="H777" s="113"/>
      <c r="I777" s="113"/>
      <c r="J777" s="502" t="s">
        <v>42</v>
      </c>
      <c r="K777" s="146" t="s">
        <v>90</v>
      </c>
      <c r="L777" s="114"/>
      <c r="M777" s="119"/>
      <c r="N777" s="119"/>
      <c r="O777" s="113"/>
      <c r="P777" s="127"/>
      <c r="Q777" s="113"/>
      <c r="R777" s="114"/>
      <c r="S777" s="579"/>
      <c r="T777" s="211"/>
    </row>
    <row r="778" spans="1:20" s="212" customFormat="1" ht="51.75" customHeight="1" x14ac:dyDescent="0.35">
      <c r="A778" s="576"/>
      <c r="B778" s="600"/>
      <c r="C778" s="114" t="s">
        <v>43</v>
      </c>
      <c r="D778" s="116" t="s">
        <v>136</v>
      </c>
      <c r="E778" s="114" t="s">
        <v>25</v>
      </c>
      <c r="F778" s="114">
        <v>100</v>
      </c>
      <c r="G778" s="114">
        <v>100</v>
      </c>
      <c r="H778" s="509">
        <f t="shared" ref="H778:H779" si="58">IF(G778/F778*100&gt;100,100,G778/F778*100)</f>
        <v>100</v>
      </c>
      <c r="I778" s="114"/>
      <c r="J778" s="118" t="s">
        <v>43</v>
      </c>
      <c r="K778" s="116" t="s">
        <v>89</v>
      </c>
      <c r="L778" s="114" t="s">
        <v>38</v>
      </c>
      <c r="M778" s="114">
        <v>200</v>
      </c>
      <c r="N778" s="114">
        <v>200</v>
      </c>
      <c r="O778" s="115">
        <f>IF(N778/M778*100&gt;110,110,N778/M778*100)</f>
        <v>100</v>
      </c>
      <c r="P778" s="127"/>
      <c r="Q778" s="113"/>
      <c r="R778" s="114"/>
      <c r="S778" s="579"/>
      <c r="T778" s="211"/>
    </row>
    <row r="779" spans="1:20" s="212" customFormat="1" ht="81.75" customHeight="1" x14ac:dyDescent="0.35">
      <c r="A779" s="576"/>
      <c r="B779" s="600"/>
      <c r="C779" s="114" t="s">
        <v>137</v>
      </c>
      <c r="D779" s="116" t="s">
        <v>138</v>
      </c>
      <c r="E779" s="114" t="s">
        <v>25</v>
      </c>
      <c r="F779" s="114">
        <v>90</v>
      </c>
      <c r="G779" s="114">
        <v>90</v>
      </c>
      <c r="H779" s="509">
        <f t="shared" si="58"/>
        <v>100</v>
      </c>
      <c r="I779" s="114"/>
      <c r="J779" s="118"/>
      <c r="K779" s="116"/>
      <c r="L779" s="114"/>
      <c r="M779" s="119"/>
      <c r="N779" s="119"/>
      <c r="O779" s="115"/>
      <c r="P779" s="127"/>
      <c r="Q779" s="113"/>
      <c r="R779" s="114"/>
      <c r="S779" s="579"/>
      <c r="T779" s="211"/>
    </row>
    <row r="780" spans="1:20" s="124" customFormat="1" ht="45" customHeight="1" x14ac:dyDescent="0.35">
      <c r="A780" s="576"/>
      <c r="B780" s="600"/>
      <c r="C780" s="191"/>
      <c r="D780" s="183" t="s">
        <v>6</v>
      </c>
      <c r="E780" s="191"/>
      <c r="F780" s="184"/>
      <c r="G780" s="184"/>
      <c r="H780" s="187"/>
      <c r="I780" s="187">
        <f>(H779+H778)/2</f>
        <v>100</v>
      </c>
      <c r="J780" s="182"/>
      <c r="K780" s="183" t="s">
        <v>6</v>
      </c>
      <c r="L780" s="184"/>
      <c r="M780" s="188"/>
      <c r="N780" s="188"/>
      <c r="O780" s="187"/>
      <c r="P780" s="187">
        <f>O778</f>
        <v>100</v>
      </c>
      <c r="Q780" s="187">
        <f>(I780+P780)/2</f>
        <v>100</v>
      </c>
      <c r="R780" s="191" t="s">
        <v>31</v>
      </c>
      <c r="S780" s="579"/>
      <c r="T780" s="123"/>
    </row>
    <row r="781" spans="1:20" s="212" customFormat="1" ht="51" customHeight="1" x14ac:dyDescent="0.35">
      <c r="A781" s="576"/>
      <c r="B781" s="600"/>
      <c r="C781" s="502" t="s">
        <v>164</v>
      </c>
      <c r="D781" s="146" t="s">
        <v>211</v>
      </c>
      <c r="E781" s="114"/>
      <c r="F781" s="114"/>
      <c r="G781" s="114"/>
      <c r="H781" s="113"/>
      <c r="I781" s="113"/>
      <c r="J781" s="502" t="s">
        <v>164</v>
      </c>
      <c r="K781" s="146" t="str">
        <f>D781</f>
        <v>Реализация дополнительных общеразвивающих программ</v>
      </c>
      <c r="L781" s="114"/>
      <c r="M781" s="119"/>
      <c r="N781" s="119"/>
      <c r="O781" s="113"/>
      <c r="P781" s="127"/>
      <c r="Q781" s="113"/>
      <c r="R781" s="114"/>
      <c r="S781" s="579"/>
      <c r="T781" s="211"/>
    </row>
    <row r="782" spans="1:20" s="212" customFormat="1" ht="83.25" customHeight="1" x14ac:dyDescent="0.35">
      <c r="A782" s="576"/>
      <c r="B782" s="600"/>
      <c r="C782" s="114" t="s">
        <v>165</v>
      </c>
      <c r="D782" s="116" t="s">
        <v>138</v>
      </c>
      <c r="E782" s="114" t="s">
        <v>25</v>
      </c>
      <c r="F782" s="114">
        <v>90</v>
      </c>
      <c r="G782" s="114">
        <v>90</v>
      </c>
      <c r="H782" s="509">
        <f>IF(G782/F782*100&gt;100,100,G782/F782*100)</f>
        <v>100</v>
      </c>
      <c r="I782" s="114"/>
      <c r="J782" s="118" t="s">
        <v>165</v>
      </c>
      <c r="K782" s="116" t="s">
        <v>469</v>
      </c>
      <c r="L782" s="114" t="s">
        <v>339</v>
      </c>
      <c r="M782" s="114">
        <v>58752</v>
      </c>
      <c r="N782" s="114">
        <v>61437</v>
      </c>
      <c r="O782" s="115">
        <f>IF(N782/M782*100&gt;110,110,N782/M782*100)</f>
        <v>104.57005718954248</v>
      </c>
      <c r="P782" s="127"/>
      <c r="Q782" s="113"/>
      <c r="R782" s="114"/>
      <c r="S782" s="579"/>
      <c r="T782" s="211"/>
    </row>
    <row r="783" spans="1:20" s="124" customFormat="1" ht="45" customHeight="1" x14ac:dyDescent="0.35">
      <c r="A783" s="576"/>
      <c r="B783" s="600"/>
      <c r="C783" s="191"/>
      <c r="D783" s="183" t="s">
        <v>6</v>
      </c>
      <c r="E783" s="191"/>
      <c r="F783" s="184"/>
      <c r="G783" s="184"/>
      <c r="H783" s="187"/>
      <c r="I783" s="187">
        <f>H782</f>
        <v>100</v>
      </c>
      <c r="J783" s="182"/>
      <c r="K783" s="183" t="s">
        <v>6</v>
      </c>
      <c r="L783" s="184"/>
      <c r="M783" s="188"/>
      <c r="N783" s="188"/>
      <c r="O783" s="187"/>
      <c r="P783" s="187">
        <f>O782</f>
        <v>104.57005718954248</v>
      </c>
      <c r="Q783" s="187">
        <f>(I783+P783)/2</f>
        <v>102.28502859477123</v>
      </c>
      <c r="R783" s="191" t="s">
        <v>31</v>
      </c>
      <c r="S783" s="579"/>
      <c r="T783" s="123"/>
    </row>
    <row r="784" spans="1:20" s="212" customFormat="1" ht="57.75" customHeight="1" x14ac:dyDescent="0.35">
      <c r="A784" s="576">
        <v>52</v>
      </c>
      <c r="B784" s="600" t="s">
        <v>152</v>
      </c>
      <c r="C784" s="502" t="s">
        <v>12</v>
      </c>
      <c r="D784" s="146" t="s">
        <v>128</v>
      </c>
      <c r="E784" s="502"/>
      <c r="F784" s="502"/>
      <c r="G784" s="502"/>
      <c r="H784" s="113"/>
      <c r="I784" s="113"/>
      <c r="J784" s="502" t="s">
        <v>12</v>
      </c>
      <c r="K784" s="146" t="s">
        <v>128</v>
      </c>
      <c r="L784" s="114"/>
      <c r="M784" s="114"/>
      <c r="N784" s="114"/>
      <c r="O784" s="113"/>
      <c r="P784" s="127"/>
      <c r="Q784" s="113"/>
      <c r="R784" s="114"/>
      <c r="S784" s="579" t="s">
        <v>280</v>
      </c>
      <c r="T784" s="211"/>
    </row>
    <row r="785" spans="1:20" s="212" customFormat="1" ht="77.25" customHeight="1" x14ac:dyDescent="0.35">
      <c r="A785" s="576"/>
      <c r="B785" s="600"/>
      <c r="C785" s="114" t="s">
        <v>7</v>
      </c>
      <c r="D785" s="116" t="s">
        <v>129</v>
      </c>
      <c r="E785" s="114" t="s">
        <v>25</v>
      </c>
      <c r="F785" s="114">
        <v>100</v>
      </c>
      <c r="G785" s="114">
        <v>100</v>
      </c>
      <c r="H785" s="509">
        <f t="shared" ref="H785:H789" si="59">IF(G785/F785*100&gt;100,100,G785/F785*100)</f>
        <v>100</v>
      </c>
      <c r="I785" s="114"/>
      <c r="J785" s="114" t="s">
        <v>7</v>
      </c>
      <c r="K785" s="116" t="s">
        <v>89</v>
      </c>
      <c r="L785" s="114" t="s">
        <v>38</v>
      </c>
      <c r="M785" s="114">
        <v>297</v>
      </c>
      <c r="N785" s="114">
        <v>287</v>
      </c>
      <c r="O785" s="115">
        <f>IF(N785/M785*100&gt;110,110,N785/M785*100)</f>
        <v>96.632996632996637</v>
      </c>
      <c r="P785" s="127"/>
      <c r="Q785" s="113"/>
      <c r="R785" s="114"/>
      <c r="S785" s="579"/>
      <c r="T785" s="211"/>
    </row>
    <row r="786" spans="1:20" s="212" customFormat="1" x14ac:dyDescent="0.35">
      <c r="A786" s="576"/>
      <c r="B786" s="600"/>
      <c r="C786" s="114" t="s">
        <v>8</v>
      </c>
      <c r="D786" s="116" t="s">
        <v>561</v>
      </c>
      <c r="E786" s="114" t="s">
        <v>25</v>
      </c>
      <c r="F786" s="114">
        <v>100</v>
      </c>
      <c r="G786" s="114">
        <v>100</v>
      </c>
      <c r="H786" s="509">
        <f t="shared" si="59"/>
        <v>100</v>
      </c>
      <c r="I786" s="114"/>
      <c r="J786" s="114"/>
      <c r="K786" s="503"/>
      <c r="L786" s="114"/>
      <c r="M786" s="117"/>
      <c r="N786" s="117"/>
      <c r="O786" s="115"/>
      <c r="P786" s="127"/>
      <c r="Q786" s="113"/>
      <c r="R786" s="114"/>
      <c r="S786" s="579"/>
      <c r="T786" s="211"/>
    </row>
    <row r="787" spans="1:20" s="212" customFormat="1" ht="45" customHeight="1" x14ac:dyDescent="0.35">
      <c r="A787" s="576"/>
      <c r="B787" s="600"/>
      <c r="C787" s="114" t="s">
        <v>9</v>
      </c>
      <c r="D787" s="116" t="s">
        <v>468</v>
      </c>
      <c r="E787" s="114" t="s">
        <v>25</v>
      </c>
      <c r="F787" s="114">
        <v>100</v>
      </c>
      <c r="G787" s="114">
        <v>100</v>
      </c>
      <c r="H787" s="509">
        <f t="shared" si="59"/>
        <v>100</v>
      </c>
      <c r="I787" s="114"/>
      <c r="J787" s="118"/>
      <c r="K787" s="116"/>
      <c r="L787" s="114"/>
      <c r="M787" s="119"/>
      <c r="N787" s="119"/>
      <c r="O787" s="115"/>
      <c r="P787" s="127"/>
      <c r="Q787" s="113"/>
      <c r="R787" s="114"/>
      <c r="S787" s="579"/>
      <c r="T787" s="211"/>
    </row>
    <row r="788" spans="1:20" s="212" customFormat="1" ht="78.75" customHeight="1" x14ac:dyDescent="0.35">
      <c r="A788" s="576"/>
      <c r="B788" s="600"/>
      <c r="C788" s="114" t="s">
        <v>10</v>
      </c>
      <c r="D788" s="116" t="s">
        <v>88</v>
      </c>
      <c r="E788" s="114" t="s">
        <v>25</v>
      </c>
      <c r="F788" s="114">
        <v>90</v>
      </c>
      <c r="G788" s="114">
        <v>90</v>
      </c>
      <c r="H788" s="509">
        <f t="shared" si="59"/>
        <v>100</v>
      </c>
      <c r="I788" s="114"/>
      <c r="J788" s="118"/>
      <c r="K788" s="116"/>
      <c r="L788" s="114"/>
      <c r="M788" s="119"/>
      <c r="N788" s="119"/>
      <c r="O788" s="115"/>
      <c r="P788" s="127"/>
      <c r="Q788" s="113"/>
      <c r="R788" s="114"/>
      <c r="S788" s="579"/>
      <c r="T788" s="211"/>
    </row>
    <row r="789" spans="1:20" s="212" customFormat="1" ht="125.25" customHeight="1" x14ac:dyDescent="0.35">
      <c r="A789" s="576"/>
      <c r="B789" s="600"/>
      <c r="C789" s="114" t="s">
        <v>35</v>
      </c>
      <c r="D789" s="116" t="s">
        <v>130</v>
      </c>
      <c r="E789" s="114" t="s">
        <v>25</v>
      </c>
      <c r="F789" s="114">
        <v>100</v>
      </c>
      <c r="G789" s="114">
        <v>100</v>
      </c>
      <c r="H789" s="509">
        <f t="shared" si="59"/>
        <v>100</v>
      </c>
      <c r="I789" s="114"/>
      <c r="J789" s="118"/>
      <c r="K789" s="116"/>
      <c r="L789" s="114"/>
      <c r="M789" s="119"/>
      <c r="N789" s="119"/>
      <c r="O789" s="115"/>
      <c r="P789" s="127"/>
      <c r="Q789" s="113"/>
      <c r="R789" s="114"/>
      <c r="S789" s="579"/>
      <c r="T789" s="211"/>
    </row>
    <row r="790" spans="1:20" s="124" customFormat="1" ht="40.5" customHeight="1" x14ac:dyDescent="0.35">
      <c r="A790" s="576"/>
      <c r="B790" s="600"/>
      <c r="C790" s="191"/>
      <c r="D790" s="183" t="s">
        <v>6</v>
      </c>
      <c r="E790" s="191"/>
      <c r="F790" s="184"/>
      <c r="G790" s="184"/>
      <c r="H790" s="187"/>
      <c r="I790" s="187">
        <f>(H785+H786+H787+H788+H789)/5</f>
        <v>100</v>
      </c>
      <c r="J790" s="182"/>
      <c r="K790" s="183" t="s">
        <v>6</v>
      </c>
      <c r="L790" s="184"/>
      <c r="M790" s="188"/>
      <c r="N790" s="188"/>
      <c r="O790" s="187"/>
      <c r="P790" s="187">
        <f>O785</f>
        <v>96.632996632996637</v>
      </c>
      <c r="Q790" s="187">
        <f>(I790+P790)/2</f>
        <v>98.316498316498325</v>
      </c>
      <c r="R790" s="191" t="s">
        <v>361</v>
      </c>
      <c r="S790" s="579"/>
      <c r="T790" s="123"/>
    </row>
    <row r="791" spans="1:20" s="212" customFormat="1" ht="60" customHeight="1" x14ac:dyDescent="0.35">
      <c r="A791" s="576"/>
      <c r="B791" s="600"/>
      <c r="C791" s="502" t="s">
        <v>13</v>
      </c>
      <c r="D791" s="146" t="s">
        <v>131</v>
      </c>
      <c r="E791" s="114"/>
      <c r="F791" s="114"/>
      <c r="G791" s="114"/>
      <c r="H791" s="113"/>
      <c r="I791" s="113"/>
      <c r="J791" s="502" t="s">
        <v>13</v>
      </c>
      <c r="K791" s="146" t="s">
        <v>131</v>
      </c>
      <c r="L791" s="114"/>
      <c r="M791" s="119"/>
      <c r="N791" s="119"/>
      <c r="O791" s="113"/>
      <c r="P791" s="127"/>
      <c r="Q791" s="113"/>
      <c r="R791" s="114"/>
      <c r="S791" s="579"/>
      <c r="T791" s="211"/>
    </row>
    <row r="792" spans="1:20" s="212" customFormat="1" ht="75" customHeight="1" x14ac:dyDescent="0.35">
      <c r="A792" s="576"/>
      <c r="B792" s="600"/>
      <c r="C792" s="114" t="s">
        <v>14</v>
      </c>
      <c r="D792" s="116" t="s">
        <v>132</v>
      </c>
      <c r="E792" s="114" t="s">
        <v>25</v>
      </c>
      <c r="F792" s="114">
        <v>100</v>
      </c>
      <c r="G792" s="114">
        <v>100</v>
      </c>
      <c r="H792" s="509">
        <f t="shared" ref="H792:H796" si="60">IF(G792/F792*100&gt;100,100,G792/F792*100)</f>
        <v>100</v>
      </c>
      <c r="I792" s="114"/>
      <c r="J792" s="118" t="s">
        <v>14</v>
      </c>
      <c r="K792" s="116" t="s">
        <v>89</v>
      </c>
      <c r="L792" s="114" t="s">
        <v>38</v>
      </c>
      <c r="M792" s="114">
        <v>318</v>
      </c>
      <c r="N792" s="114">
        <v>313</v>
      </c>
      <c r="O792" s="115">
        <f>IF(N792/M792*100&gt;110,110,N792/M792*100)</f>
        <v>98.427672955974842</v>
      </c>
      <c r="P792" s="114"/>
      <c r="Q792" s="113"/>
      <c r="R792" s="114"/>
      <c r="S792" s="579"/>
      <c r="T792" s="211"/>
    </row>
    <row r="793" spans="1:20" s="212" customFormat="1" x14ac:dyDescent="0.35">
      <c r="A793" s="576"/>
      <c r="B793" s="600"/>
      <c r="C793" s="114" t="s">
        <v>15</v>
      </c>
      <c r="D793" s="116" t="s">
        <v>559</v>
      </c>
      <c r="E793" s="114" t="s">
        <v>25</v>
      </c>
      <c r="F793" s="114">
        <v>100</v>
      </c>
      <c r="G793" s="114">
        <v>100</v>
      </c>
      <c r="H793" s="509">
        <f t="shared" si="60"/>
        <v>100</v>
      </c>
      <c r="I793" s="114"/>
      <c r="J793" s="118"/>
      <c r="K793" s="116"/>
      <c r="L793" s="114"/>
      <c r="M793" s="119"/>
      <c r="N793" s="119"/>
      <c r="O793" s="115"/>
      <c r="P793" s="127"/>
      <c r="Q793" s="113"/>
      <c r="R793" s="114"/>
      <c r="S793" s="579"/>
      <c r="T793" s="211"/>
    </row>
    <row r="794" spans="1:20" s="212" customFormat="1" ht="58.5" customHeight="1" x14ac:dyDescent="0.35">
      <c r="A794" s="576"/>
      <c r="B794" s="600"/>
      <c r="C794" s="114" t="s">
        <v>39</v>
      </c>
      <c r="D794" s="116" t="s">
        <v>468</v>
      </c>
      <c r="E794" s="114" t="s">
        <v>25</v>
      </c>
      <c r="F794" s="114">
        <v>100</v>
      </c>
      <c r="G794" s="114">
        <v>100</v>
      </c>
      <c r="H794" s="509">
        <f t="shared" si="60"/>
        <v>100</v>
      </c>
      <c r="I794" s="114"/>
      <c r="J794" s="118"/>
      <c r="K794" s="116"/>
      <c r="L794" s="114"/>
      <c r="M794" s="119"/>
      <c r="N794" s="119"/>
      <c r="O794" s="115"/>
      <c r="P794" s="127"/>
      <c r="Q794" s="113"/>
      <c r="R794" s="114"/>
      <c r="S794" s="579"/>
      <c r="T794" s="211"/>
    </row>
    <row r="795" spans="1:20" s="212" customFormat="1" ht="73.5" customHeight="1" x14ac:dyDescent="0.35">
      <c r="A795" s="576"/>
      <c r="B795" s="600"/>
      <c r="C795" s="114" t="s">
        <v>45</v>
      </c>
      <c r="D795" s="116" t="s">
        <v>88</v>
      </c>
      <c r="E795" s="114" t="s">
        <v>25</v>
      </c>
      <c r="F795" s="114">
        <v>90</v>
      </c>
      <c r="G795" s="114">
        <v>90</v>
      </c>
      <c r="H795" s="509">
        <f t="shared" si="60"/>
        <v>100</v>
      </c>
      <c r="I795" s="114"/>
      <c r="J795" s="118"/>
      <c r="K795" s="116"/>
      <c r="L795" s="114"/>
      <c r="M795" s="119"/>
      <c r="N795" s="119"/>
      <c r="O795" s="115"/>
      <c r="P795" s="127"/>
      <c r="Q795" s="113"/>
      <c r="R795" s="114"/>
      <c r="S795" s="579"/>
      <c r="T795" s="211"/>
    </row>
    <row r="796" spans="1:20" s="212" customFormat="1" ht="111.75" customHeight="1" x14ac:dyDescent="0.35">
      <c r="A796" s="576"/>
      <c r="B796" s="600"/>
      <c r="C796" s="114" t="s">
        <v>66</v>
      </c>
      <c r="D796" s="116" t="s">
        <v>130</v>
      </c>
      <c r="E796" s="114" t="s">
        <v>25</v>
      </c>
      <c r="F796" s="114">
        <v>100</v>
      </c>
      <c r="G796" s="114">
        <v>100</v>
      </c>
      <c r="H796" s="509">
        <f t="shared" si="60"/>
        <v>100</v>
      </c>
      <c r="I796" s="114"/>
      <c r="J796" s="118"/>
      <c r="K796" s="116"/>
      <c r="L796" s="114"/>
      <c r="M796" s="119"/>
      <c r="N796" s="119"/>
      <c r="O796" s="115"/>
      <c r="P796" s="127"/>
      <c r="Q796" s="113"/>
      <c r="R796" s="114"/>
      <c r="S796" s="579"/>
      <c r="T796" s="211"/>
    </row>
    <row r="797" spans="1:20" s="124" customFormat="1" ht="40.5" customHeight="1" x14ac:dyDescent="0.35">
      <c r="A797" s="576"/>
      <c r="B797" s="600"/>
      <c r="C797" s="191"/>
      <c r="D797" s="183" t="s">
        <v>6</v>
      </c>
      <c r="E797" s="191"/>
      <c r="F797" s="184"/>
      <c r="G797" s="184"/>
      <c r="H797" s="187"/>
      <c r="I797" s="187">
        <f>(H792+H793+H794+H795+H796)/5</f>
        <v>100</v>
      </c>
      <c r="J797" s="182"/>
      <c r="K797" s="183" t="s">
        <v>6</v>
      </c>
      <c r="L797" s="184"/>
      <c r="M797" s="188"/>
      <c r="N797" s="188"/>
      <c r="O797" s="187"/>
      <c r="P797" s="187">
        <f>O792</f>
        <v>98.427672955974842</v>
      </c>
      <c r="Q797" s="187">
        <f>(I797+P797)/2</f>
        <v>99.213836477987428</v>
      </c>
      <c r="R797" s="191" t="s">
        <v>361</v>
      </c>
      <c r="S797" s="579"/>
      <c r="T797" s="123"/>
    </row>
    <row r="798" spans="1:20" s="212" customFormat="1" ht="61.5" customHeight="1" x14ac:dyDescent="0.35">
      <c r="A798" s="576"/>
      <c r="B798" s="600"/>
      <c r="C798" s="502" t="s">
        <v>28</v>
      </c>
      <c r="D798" s="146" t="s">
        <v>133</v>
      </c>
      <c r="E798" s="114"/>
      <c r="F798" s="114"/>
      <c r="G798" s="114"/>
      <c r="H798" s="113"/>
      <c r="I798" s="113"/>
      <c r="J798" s="502" t="s">
        <v>28</v>
      </c>
      <c r="K798" s="146" t="str">
        <f>D798</f>
        <v>Реализация основных общеобразовательных программ среднего общего образования</v>
      </c>
      <c r="L798" s="114"/>
      <c r="M798" s="119"/>
      <c r="N798" s="119"/>
      <c r="O798" s="113"/>
      <c r="P798" s="127"/>
      <c r="Q798" s="113"/>
      <c r="R798" s="114"/>
      <c r="S798" s="579"/>
      <c r="T798" s="211"/>
    </row>
    <row r="799" spans="1:20" s="212" customFormat="1" ht="76.5" customHeight="1" x14ac:dyDescent="0.35">
      <c r="A799" s="576"/>
      <c r="B799" s="600"/>
      <c r="C799" s="114" t="s">
        <v>29</v>
      </c>
      <c r="D799" s="116" t="s">
        <v>134</v>
      </c>
      <c r="E799" s="114" t="s">
        <v>25</v>
      </c>
      <c r="F799" s="114">
        <v>100</v>
      </c>
      <c r="G799" s="114">
        <v>100</v>
      </c>
      <c r="H799" s="509">
        <f t="shared" ref="H799:H803" si="61">IF(G799/F799*100&gt;100,100,G799/F799*100)</f>
        <v>100</v>
      </c>
      <c r="I799" s="114"/>
      <c r="J799" s="118" t="s">
        <v>29</v>
      </c>
      <c r="K799" s="116" t="s">
        <v>89</v>
      </c>
      <c r="L799" s="114" t="s">
        <v>38</v>
      </c>
      <c r="M799" s="114">
        <v>73</v>
      </c>
      <c r="N799" s="114">
        <v>73</v>
      </c>
      <c r="O799" s="115">
        <f>IF(N799/M799*100&gt;110,110,N799/M799*100)</f>
        <v>100</v>
      </c>
      <c r="P799" s="114"/>
      <c r="Q799" s="113"/>
      <c r="R799" s="114"/>
      <c r="S799" s="579"/>
      <c r="T799" s="211"/>
    </row>
    <row r="800" spans="1:20" s="212" customFormat="1" x14ac:dyDescent="0.35">
      <c r="A800" s="576"/>
      <c r="B800" s="600"/>
      <c r="C800" s="114" t="s">
        <v>30</v>
      </c>
      <c r="D800" s="116" t="s">
        <v>560</v>
      </c>
      <c r="E800" s="114" t="s">
        <v>25</v>
      </c>
      <c r="F800" s="114">
        <v>100</v>
      </c>
      <c r="G800" s="114">
        <v>100</v>
      </c>
      <c r="H800" s="509">
        <f t="shared" si="61"/>
        <v>100</v>
      </c>
      <c r="I800" s="114"/>
      <c r="J800" s="118"/>
      <c r="K800" s="116"/>
      <c r="L800" s="114"/>
      <c r="M800" s="119"/>
      <c r="N800" s="119"/>
      <c r="O800" s="115"/>
      <c r="P800" s="127"/>
      <c r="Q800" s="113"/>
      <c r="R800" s="114"/>
      <c r="S800" s="579"/>
      <c r="T800" s="211"/>
    </row>
    <row r="801" spans="1:20" s="212" customFormat="1" ht="45.75" customHeight="1" x14ac:dyDescent="0.35">
      <c r="A801" s="576"/>
      <c r="B801" s="600"/>
      <c r="C801" s="114" t="s">
        <v>52</v>
      </c>
      <c r="D801" s="116" t="s">
        <v>468</v>
      </c>
      <c r="E801" s="114" t="s">
        <v>25</v>
      </c>
      <c r="F801" s="114">
        <v>100</v>
      </c>
      <c r="G801" s="114">
        <v>100</v>
      </c>
      <c r="H801" s="509">
        <f t="shared" si="61"/>
        <v>100</v>
      </c>
      <c r="I801" s="114"/>
      <c r="J801" s="118"/>
      <c r="K801" s="116"/>
      <c r="L801" s="114"/>
      <c r="M801" s="119"/>
      <c r="N801" s="119"/>
      <c r="O801" s="115"/>
      <c r="P801" s="127"/>
      <c r="Q801" s="113"/>
      <c r="R801" s="114"/>
      <c r="S801" s="579"/>
      <c r="T801" s="211"/>
    </row>
    <row r="802" spans="1:20" s="212" customFormat="1" ht="75" customHeight="1" x14ac:dyDescent="0.35">
      <c r="A802" s="576"/>
      <c r="B802" s="600"/>
      <c r="C802" s="114" t="s">
        <v>53</v>
      </c>
      <c r="D802" s="116" t="s">
        <v>88</v>
      </c>
      <c r="E802" s="114" t="s">
        <v>25</v>
      </c>
      <c r="F802" s="114">
        <v>90</v>
      </c>
      <c r="G802" s="114">
        <v>90</v>
      </c>
      <c r="H802" s="509">
        <f t="shared" si="61"/>
        <v>100</v>
      </c>
      <c r="I802" s="114"/>
      <c r="J802" s="118"/>
      <c r="K802" s="116"/>
      <c r="L802" s="114"/>
      <c r="M802" s="119"/>
      <c r="N802" s="119"/>
      <c r="O802" s="115"/>
      <c r="P802" s="127"/>
      <c r="Q802" s="113"/>
      <c r="R802" s="114"/>
      <c r="S802" s="579"/>
      <c r="T802" s="211"/>
    </row>
    <row r="803" spans="1:20" s="212" customFormat="1" ht="123" customHeight="1" x14ac:dyDescent="0.35">
      <c r="A803" s="576"/>
      <c r="B803" s="600"/>
      <c r="C803" s="114" t="s">
        <v>135</v>
      </c>
      <c r="D803" s="116" t="s">
        <v>130</v>
      </c>
      <c r="E803" s="114" t="s">
        <v>25</v>
      </c>
      <c r="F803" s="114">
        <v>100</v>
      </c>
      <c r="G803" s="114">
        <v>100</v>
      </c>
      <c r="H803" s="509">
        <f t="shared" si="61"/>
        <v>100</v>
      </c>
      <c r="I803" s="114"/>
      <c r="J803" s="118"/>
      <c r="K803" s="116"/>
      <c r="L803" s="114"/>
      <c r="M803" s="119"/>
      <c r="N803" s="119"/>
      <c r="O803" s="115"/>
      <c r="P803" s="127"/>
      <c r="Q803" s="113"/>
      <c r="R803" s="114"/>
      <c r="S803" s="579"/>
      <c r="T803" s="211"/>
    </row>
    <row r="804" spans="1:20" s="124" customFormat="1" ht="40.5" customHeight="1" x14ac:dyDescent="0.35">
      <c r="A804" s="576"/>
      <c r="B804" s="600"/>
      <c r="C804" s="191"/>
      <c r="D804" s="183" t="s">
        <v>6</v>
      </c>
      <c r="E804" s="191"/>
      <c r="F804" s="184"/>
      <c r="G804" s="184"/>
      <c r="H804" s="187"/>
      <c r="I804" s="187">
        <f>(H799+H800+H801+H802+H803)/5</f>
        <v>100</v>
      </c>
      <c r="J804" s="182"/>
      <c r="K804" s="183" t="s">
        <v>6</v>
      </c>
      <c r="L804" s="184"/>
      <c r="M804" s="188"/>
      <c r="N804" s="188"/>
      <c r="O804" s="187"/>
      <c r="P804" s="187">
        <f>O799</f>
        <v>100</v>
      </c>
      <c r="Q804" s="187">
        <f>(I804+P804)/2</f>
        <v>100</v>
      </c>
      <c r="R804" s="191" t="s">
        <v>31</v>
      </c>
      <c r="S804" s="579"/>
      <c r="T804" s="123"/>
    </row>
    <row r="805" spans="1:20" s="212" customFormat="1" x14ac:dyDescent="0.35">
      <c r="A805" s="576"/>
      <c r="B805" s="600"/>
      <c r="C805" s="502" t="s">
        <v>42</v>
      </c>
      <c r="D805" s="146" t="s">
        <v>90</v>
      </c>
      <c r="E805" s="114"/>
      <c r="F805" s="114"/>
      <c r="G805" s="114"/>
      <c r="H805" s="113"/>
      <c r="I805" s="113"/>
      <c r="J805" s="502" t="s">
        <v>42</v>
      </c>
      <c r="K805" s="146" t="s">
        <v>90</v>
      </c>
      <c r="L805" s="114"/>
      <c r="M805" s="119"/>
      <c r="N805" s="119"/>
      <c r="O805" s="113"/>
      <c r="P805" s="127"/>
      <c r="Q805" s="113"/>
      <c r="R805" s="502"/>
      <c r="S805" s="579"/>
      <c r="T805" s="211"/>
    </row>
    <row r="806" spans="1:20" s="212" customFormat="1" ht="45" customHeight="1" x14ac:dyDescent="0.35">
      <c r="A806" s="576"/>
      <c r="B806" s="600"/>
      <c r="C806" s="114" t="s">
        <v>43</v>
      </c>
      <c r="D806" s="116" t="s">
        <v>136</v>
      </c>
      <c r="E806" s="114" t="s">
        <v>25</v>
      </c>
      <c r="F806" s="114">
        <v>100</v>
      </c>
      <c r="G806" s="114">
        <v>100</v>
      </c>
      <c r="H806" s="509">
        <f t="shared" ref="H806:H807" si="62">IF(G806/F806*100&gt;100,100,G806/F806*100)</f>
        <v>100</v>
      </c>
      <c r="I806" s="114"/>
      <c r="J806" s="118" t="s">
        <v>43</v>
      </c>
      <c r="K806" s="116" t="s">
        <v>89</v>
      </c>
      <c r="L806" s="114" t="s">
        <v>38</v>
      </c>
      <c r="M806" s="114">
        <v>109</v>
      </c>
      <c r="N806" s="114">
        <v>108</v>
      </c>
      <c r="O806" s="115">
        <f>IF(N806/M806*100&gt;110,110,N806/M806*100)</f>
        <v>99.082568807339456</v>
      </c>
      <c r="P806" s="127"/>
      <c r="Q806" s="113"/>
      <c r="R806" s="114"/>
      <c r="S806" s="579"/>
      <c r="T806" s="211"/>
    </row>
    <row r="807" spans="1:20" s="212" customFormat="1" ht="84" customHeight="1" x14ac:dyDescent="0.35">
      <c r="A807" s="576"/>
      <c r="B807" s="600"/>
      <c r="C807" s="114" t="s">
        <v>137</v>
      </c>
      <c r="D807" s="116" t="s">
        <v>138</v>
      </c>
      <c r="E807" s="114" t="s">
        <v>25</v>
      </c>
      <c r="F807" s="114">
        <v>90</v>
      </c>
      <c r="G807" s="114">
        <v>90</v>
      </c>
      <c r="H807" s="509">
        <f t="shared" si="62"/>
        <v>100</v>
      </c>
      <c r="I807" s="114"/>
      <c r="J807" s="118"/>
      <c r="K807" s="116"/>
      <c r="L807" s="114"/>
      <c r="M807" s="119"/>
      <c r="N807" s="119"/>
      <c r="O807" s="115"/>
      <c r="P807" s="127"/>
      <c r="Q807" s="113"/>
      <c r="R807" s="114"/>
      <c r="S807" s="579"/>
      <c r="T807" s="211"/>
    </row>
    <row r="808" spans="1:20" s="124" customFormat="1" ht="40.5" customHeight="1" x14ac:dyDescent="0.35">
      <c r="A808" s="576"/>
      <c r="B808" s="600"/>
      <c r="C808" s="191"/>
      <c r="D808" s="183" t="s">
        <v>6</v>
      </c>
      <c r="E808" s="191"/>
      <c r="F808" s="184"/>
      <c r="G808" s="184"/>
      <c r="H808" s="187"/>
      <c r="I808" s="187">
        <f>(H806+H807)/2</f>
        <v>100</v>
      </c>
      <c r="J808" s="182"/>
      <c r="K808" s="183" t="s">
        <v>6</v>
      </c>
      <c r="L808" s="184"/>
      <c r="M808" s="188"/>
      <c r="N808" s="188"/>
      <c r="O808" s="187"/>
      <c r="P808" s="187">
        <f>O806</f>
        <v>99.082568807339456</v>
      </c>
      <c r="Q808" s="187">
        <f>(I808+P808)/2</f>
        <v>99.541284403669721</v>
      </c>
      <c r="R808" s="191" t="s">
        <v>361</v>
      </c>
      <c r="S808" s="579"/>
      <c r="T808" s="123"/>
    </row>
    <row r="809" spans="1:20" s="212" customFormat="1" ht="57.75" customHeight="1" x14ac:dyDescent="0.35">
      <c r="A809" s="576"/>
      <c r="B809" s="600"/>
      <c r="C809" s="502" t="s">
        <v>164</v>
      </c>
      <c r="D809" s="146" t="s">
        <v>211</v>
      </c>
      <c r="E809" s="114"/>
      <c r="F809" s="114"/>
      <c r="G809" s="114"/>
      <c r="H809" s="113"/>
      <c r="I809" s="113"/>
      <c r="J809" s="502" t="s">
        <v>164</v>
      </c>
      <c r="K809" s="146" t="str">
        <f>D809</f>
        <v>Реализация дополнительных общеразвивающих программ</v>
      </c>
      <c r="L809" s="114"/>
      <c r="M809" s="119"/>
      <c r="N809" s="119"/>
      <c r="O809" s="113"/>
      <c r="P809" s="127"/>
      <c r="Q809" s="113"/>
      <c r="R809" s="114"/>
      <c r="S809" s="579"/>
      <c r="T809" s="211"/>
    </row>
    <row r="810" spans="1:20" s="212" customFormat="1" ht="86.25" customHeight="1" x14ac:dyDescent="0.35">
      <c r="A810" s="576"/>
      <c r="B810" s="600"/>
      <c r="C810" s="114" t="s">
        <v>165</v>
      </c>
      <c r="D810" s="116" t="s">
        <v>138</v>
      </c>
      <c r="E810" s="114" t="s">
        <v>25</v>
      </c>
      <c r="F810" s="114">
        <v>90</v>
      </c>
      <c r="G810" s="114">
        <v>90</v>
      </c>
      <c r="H810" s="509">
        <f>IF(G810/F810*100&gt;100,100,G810/F810*100)</f>
        <v>100</v>
      </c>
      <c r="I810" s="114"/>
      <c r="J810" s="118" t="s">
        <v>165</v>
      </c>
      <c r="K810" s="116" t="s">
        <v>469</v>
      </c>
      <c r="L810" s="114" t="s">
        <v>339</v>
      </c>
      <c r="M810" s="114">
        <v>66301</v>
      </c>
      <c r="N810" s="114">
        <v>68953</v>
      </c>
      <c r="O810" s="115">
        <f>IF(N810/M810*100&gt;110,110,N810/M810*100)</f>
        <v>103.99993966908494</v>
      </c>
      <c r="P810" s="127"/>
      <c r="Q810" s="113"/>
      <c r="R810" s="114"/>
      <c r="S810" s="579"/>
      <c r="T810" s="211"/>
    </row>
    <row r="811" spans="1:20" s="124" customFormat="1" ht="45" customHeight="1" x14ac:dyDescent="0.35">
      <c r="A811" s="576"/>
      <c r="B811" s="600"/>
      <c r="C811" s="191"/>
      <c r="D811" s="183" t="s">
        <v>6</v>
      </c>
      <c r="E811" s="191"/>
      <c r="F811" s="184"/>
      <c r="G811" s="184"/>
      <c r="H811" s="187"/>
      <c r="I811" s="187">
        <f>H810</f>
        <v>100</v>
      </c>
      <c r="J811" s="182"/>
      <c r="K811" s="183" t="s">
        <v>6</v>
      </c>
      <c r="L811" s="184"/>
      <c r="M811" s="188"/>
      <c r="N811" s="188"/>
      <c r="O811" s="187"/>
      <c r="P811" s="187">
        <f>O810</f>
        <v>103.99993966908494</v>
      </c>
      <c r="Q811" s="187">
        <f>(I811+P811)/2</f>
        <v>101.99996983454247</v>
      </c>
      <c r="R811" s="191" t="s">
        <v>31</v>
      </c>
      <c r="S811" s="579"/>
      <c r="T811" s="123"/>
    </row>
    <row r="812" spans="1:20" s="212" customFormat="1" ht="60" customHeight="1" x14ac:dyDescent="0.35">
      <c r="A812" s="576">
        <v>53</v>
      </c>
      <c r="B812" s="600" t="s">
        <v>153</v>
      </c>
      <c r="C812" s="502" t="s">
        <v>12</v>
      </c>
      <c r="D812" s="146" t="s">
        <v>128</v>
      </c>
      <c r="E812" s="502"/>
      <c r="F812" s="502"/>
      <c r="G812" s="502"/>
      <c r="H812" s="113"/>
      <c r="I812" s="113"/>
      <c r="J812" s="502" t="s">
        <v>12</v>
      </c>
      <c r="K812" s="146" t="s">
        <v>128</v>
      </c>
      <c r="L812" s="114"/>
      <c r="M812" s="114"/>
      <c r="N812" s="114"/>
      <c r="O812" s="113"/>
      <c r="P812" s="127"/>
      <c r="Q812" s="113"/>
      <c r="R812" s="114"/>
      <c r="S812" s="579" t="s">
        <v>607</v>
      </c>
      <c r="T812" s="211"/>
    </row>
    <row r="813" spans="1:20" s="212" customFormat="1" ht="78" customHeight="1" x14ac:dyDescent="0.35">
      <c r="A813" s="576"/>
      <c r="B813" s="600"/>
      <c r="C813" s="114" t="s">
        <v>7</v>
      </c>
      <c r="D813" s="116" t="s">
        <v>129</v>
      </c>
      <c r="E813" s="114" t="s">
        <v>25</v>
      </c>
      <c r="F813" s="114">
        <v>100</v>
      </c>
      <c r="G813" s="114">
        <v>100</v>
      </c>
      <c r="H813" s="509">
        <f t="shared" ref="H813:H817" si="63">IF(G813/F813*100&gt;100,100,G813/F813*100)</f>
        <v>100</v>
      </c>
      <c r="I813" s="114"/>
      <c r="J813" s="114" t="s">
        <v>7</v>
      </c>
      <c r="K813" s="116" t="s">
        <v>89</v>
      </c>
      <c r="L813" s="114" t="s">
        <v>38</v>
      </c>
      <c r="M813" s="114">
        <v>241</v>
      </c>
      <c r="N813" s="114">
        <v>232</v>
      </c>
      <c r="O813" s="115">
        <f>IF(N813/M813*100&gt;110,110,N813/M813*100)</f>
        <v>96.265560165975103</v>
      </c>
      <c r="P813" s="127"/>
      <c r="Q813" s="113"/>
      <c r="R813" s="114"/>
      <c r="S813" s="579"/>
      <c r="T813" s="211"/>
    </row>
    <row r="814" spans="1:20" s="212" customFormat="1" ht="45" customHeight="1" x14ac:dyDescent="0.35">
      <c r="A814" s="576"/>
      <c r="B814" s="600"/>
      <c r="C814" s="114" t="s">
        <v>8</v>
      </c>
      <c r="D814" s="116" t="s">
        <v>561</v>
      </c>
      <c r="E814" s="114" t="s">
        <v>25</v>
      </c>
      <c r="F814" s="114">
        <v>100</v>
      </c>
      <c r="G814" s="114">
        <v>100</v>
      </c>
      <c r="H814" s="509">
        <f t="shared" si="63"/>
        <v>100</v>
      </c>
      <c r="I814" s="114"/>
      <c r="J814" s="114"/>
      <c r="K814" s="503"/>
      <c r="L814" s="114"/>
      <c r="M814" s="117"/>
      <c r="N814" s="117"/>
      <c r="O814" s="115"/>
      <c r="P814" s="127"/>
      <c r="Q814" s="113"/>
      <c r="R814" s="114"/>
      <c r="S814" s="579"/>
      <c r="T814" s="211"/>
    </row>
    <row r="815" spans="1:20" s="212" customFormat="1" ht="57.75" customHeight="1" x14ac:dyDescent="0.35">
      <c r="A815" s="576"/>
      <c r="B815" s="600"/>
      <c r="C815" s="114" t="s">
        <v>9</v>
      </c>
      <c r="D815" s="116" t="s">
        <v>468</v>
      </c>
      <c r="E815" s="114" t="s">
        <v>25</v>
      </c>
      <c r="F815" s="114">
        <v>100</v>
      </c>
      <c r="G815" s="114">
        <v>100</v>
      </c>
      <c r="H815" s="509">
        <f t="shared" si="63"/>
        <v>100</v>
      </c>
      <c r="I815" s="114"/>
      <c r="J815" s="118"/>
      <c r="K815" s="116"/>
      <c r="L815" s="114"/>
      <c r="M815" s="119"/>
      <c r="N815" s="119"/>
      <c r="O815" s="115"/>
      <c r="P815" s="127"/>
      <c r="Q815" s="113"/>
      <c r="R815" s="114"/>
      <c r="S815" s="579"/>
      <c r="T815" s="211"/>
    </row>
    <row r="816" spans="1:20" s="212" customFormat="1" ht="81" customHeight="1" x14ac:dyDescent="0.35">
      <c r="A816" s="576"/>
      <c r="B816" s="600"/>
      <c r="C816" s="114" t="s">
        <v>10</v>
      </c>
      <c r="D816" s="116" t="s">
        <v>88</v>
      </c>
      <c r="E816" s="114" t="s">
        <v>25</v>
      </c>
      <c r="F816" s="114">
        <v>90</v>
      </c>
      <c r="G816" s="114">
        <v>100</v>
      </c>
      <c r="H816" s="509">
        <f t="shared" si="63"/>
        <v>100</v>
      </c>
      <c r="I816" s="114"/>
      <c r="J816" s="118"/>
      <c r="K816" s="116"/>
      <c r="L816" s="114"/>
      <c r="M816" s="119"/>
      <c r="N816" s="119"/>
      <c r="O816" s="115"/>
      <c r="P816" s="127"/>
      <c r="Q816" s="113"/>
      <c r="R816" s="114"/>
      <c r="S816" s="579"/>
      <c r="T816" s="211"/>
    </row>
    <row r="817" spans="1:20" s="212" customFormat="1" ht="123" customHeight="1" x14ac:dyDescent="0.35">
      <c r="A817" s="576"/>
      <c r="B817" s="600"/>
      <c r="C817" s="114" t="s">
        <v>35</v>
      </c>
      <c r="D817" s="116" t="s">
        <v>130</v>
      </c>
      <c r="E817" s="114" t="s">
        <v>25</v>
      </c>
      <c r="F817" s="114">
        <v>100</v>
      </c>
      <c r="G817" s="114">
        <v>100</v>
      </c>
      <c r="H817" s="509">
        <f t="shared" si="63"/>
        <v>100</v>
      </c>
      <c r="I817" s="114"/>
      <c r="J817" s="118"/>
      <c r="K817" s="116"/>
      <c r="L817" s="114"/>
      <c r="M817" s="119"/>
      <c r="N817" s="119"/>
      <c r="O817" s="115"/>
      <c r="P817" s="127"/>
      <c r="Q817" s="113"/>
      <c r="R817" s="114"/>
      <c r="S817" s="579"/>
      <c r="T817" s="211"/>
    </row>
    <row r="818" spans="1:20" s="124" customFormat="1" ht="40.5" customHeight="1" x14ac:dyDescent="0.35">
      <c r="A818" s="576"/>
      <c r="B818" s="600"/>
      <c r="C818" s="191"/>
      <c r="D818" s="183" t="s">
        <v>6</v>
      </c>
      <c r="E818" s="191"/>
      <c r="F818" s="184"/>
      <c r="G818" s="184"/>
      <c r="H818" s="187"/>
      <c r="I818" s="187">
        <f>(H813+H814+H815+H816+H817)/5</f>
        <v>100</v>
      </c>
      <c r="J818" s="182"/>
      <c r="K818" s="183" t="s">
        <v>6</v>
      </c>
      <c r="L818" s="184"/>
      <c r="M818" s="188"/>
      <c r="N818" s="188"/>
      <c r="O818" s="187"/>
      <c r="P818" s="187">
        <f>O813</f>
        <v>96.265560165975103</v>
      </c>
      <c r="Q818" s="187">
        <f>(I818+P818)/2</f>
        <v>98.132780082987551</v>
      </c>
      <c r="R818" s="191" t="s">
        <v>361</v>
      </c>
      <c r="S818" s="579"/>
      <c r="T818" s="123"/>
    </row>
    <row r="819" spans="1:20" s="212" customFormat="1" ht="63.75" customHeight="1" x14ac:dyDescent="0.35">
      <c r="A819" s="576"/>
      <c r="B819" s="600"/>
      <c r="C819" s="502" t="s">
        <v>13</v>
      </c>
      <c r="D819" s="146" t="s">
        <v>131</v>
      </c>
      <c r="E819" s="114"/>
      <c r="F819" s="114"/>
      <c r="G819" s="114"/>
      <c r="H819" s="113"/>
      <c r="I819" s="113"/>
      <c r="J819" s="502" t="s">
        <v>13</v>
      </c>
      <c r="K819" s="146" t="s">
        <v>131</v>
      </c>
      <c r="L819" s="114"/>
      <c r="M819" s="119"/>
      <c r="N819" s="119"/>
      <c r="O819" s="113"/>
      <c r="P819" s="127"/>
      <c r="Q819" s="113"/>
      <c r="R819" s="114"/>
      <c r="S819" s="579"/>
      <c r="T819" s="211"/>
    </row>
    <row r="820" spans="1:20" s="212" customFormat="1" ht="77.25" customHeight="1" x14ac:dyDescent="0.35">
      <c r="A820" s="576"/>
      <c r="B820" s="600"/>
      <c r="C820" s="114" t="s">
        <v>14</v>
      </c>
      <c r="D820" s="116" t="s">
        <v>132</v>
      </c>
      <c r="E820" s="114" t="s">
        <v>25</v>
      </c>
      <c r="F820" s="114">
        <v>100</v>
      </c>
      <c r="G820" s="114">
        <v>100</v>
      </c>
      <c r="H820" s="509">
        <f t="shared" ref="H820:H824" si="64">IF(G820/F820*100&gt;100,100,G820/F820*100)</f>
        <v>100</v>
      </c>
      <c r="I820" s="114"/>
      <c r="J820" s="118" t="s">
        <v>14</v>
      </c>
      <c r="K820" s="116" t="s">
        <v>89</v>
      </c>
      <c r="L820" s="114" t="s">
        <v>38</v>
      </c>
      <c r="M820" s="114">
        <v>261</v>
      </c>
      <c r="N820" s="114">
        <v>264</v>
      </c>
      <c r="O820" s="115">
        <f>IF(N820/M820*100&gt;110,110,N820/M820*100)</f>
        <v>101.14942528735634</v>
      </c>
      <c r="P820" s="114"/>
      <c r="Q820" s="113"/>
      <c r="R820" s="114"/>
      <c r="S820" s="579"/>
      <c r="T820" s="211"/>
    </row>
    <row r="821" spans="1:20" s="212" customFormat="1" ht="45" customHeight="1" x14ac:dyDescent="0.35">
      <c r="A821" s="576"/>
      <c r="B821" s="600"/>
      <c r="C821" s="114" t="s">
        <v>15</v>
      </c>
      <c r="D821" s="116" t="s">
        <v>559</v>
      </c>
      <c r="E821" s="114" t="s">
        <v>25</v>
      </c>
      <c r="F821" s="114">
        <v>100</v>
      </c>
      <c r="G821" s="114">
        <v>100</v>
      </c>
      <c r="H821" s="509">
        <f t="shared" si="64"/>
        <v>100</v>
      </c>
      <c r="I821" s="114"/>
      <c r="J821" s="118"/>
      <c r="K821" s="116"/>
      <c r="L821" s="114"/>
      <c r="M821" s="119"/>
      <c r="N821" s="119"/>
      <c r="O821" s="115"/>
      <c r="P821" s="127"/>
      <c r="Q821" s="113"/>
      <c r="R821" s="114"/>
      <c r="S821" s="579"/>
      <c r="T821" s="211"/>
    </row>
    <row r="822" spans="1:20" s="212" customFormat="1" ht="58.5" customHeight="1" x14ac:dyDescent="0.35">
      <c r="A822" s="576"/>
      <c r="B822" s="600"/>
      <c r="C822" s="114" t="s">
        <v>39</v>
      </c>
      <c r="D822" s="116" t="s">
        <v>468</v>
      </c>
      <c r="E822" s="114" t="s">
        <v>25</v>
      </c>
      <c r="F822" s="114">
        <v>100</v>
      </c>
      <c r="G822" s="114">
        <v>100</v>
      </c>
      <c r="H822" s="509">
        <f t="shared" si="64"/>
        <v>100</v>
      </c>
      <c r="I822" s="114"/>
      <c r="J822" s="118"/>
      <c r="K822" s="116"/>
      <c r="L822" s="114"/>
      <c r="M822" s="119"/>
      <c r="N822" s="119"/>
      <c r="O822" s="115"/>
      <c r="P822" s="127"/>
      <c r="Q822" s="113"/>
      <c r="R822" s="114"/>
      <c r="S822" s="579"/>
      <c r="T822" s="211"/>
    </row>
    <row r="823" spans="1:20" s="212" customFormat="1" ht="75.75" customHeight="1" x14ac:dyDescent="0.35">
      <c r="A823" s="576"/>
      <c r="B823" s="600"/>
      <c r="C823" s="114" t="s">
        <v>45</v>
      </c>
      <c r="D823" s="116" t="s">
        <v>88</v>
      </c>
      <c r="E823" s="114" t="s">
        <v>25</v>
      </c>
      <c r="F823" s="114">
        <v>90</v>
      </c>
      <c r="G823" s="114">
        <v>100</v>
      </c>
      <c r="H823" s="509">
        <f t="shared" si="64"/>
        <v>100</v>
      </c>
      <c r="I823" s="114"/>
      <c r="J823" s="118"/>
      <c r="K823" s="116"/>
      <c r="L823" s="114"/>
      <c r="M823" s="119"/>
      <c r="N823" s="119"/>
      <c r="O823" s="115"/>
      <c r="P823" s="127"/>
      <c r="Q823" s="113"/>
      <c r="R823" s="114"/>
      <c r="S823" s="579"/>
      <c r="T823" s="211"/>
    </row>
    <row r="824" spans="1:20" s="212" customFormat="1" ht="126" customHeight="1" x14ac:dyDescent="0.35">
      <c r="A824" s="576"/>
      <c r="B824" s="600"/>
      <c r="C824" s="114" t="s">
        <v>66</v>
      </c>
      <c r="D824" s="116" t="s">
        <v>130</v>
      </c>
      <c r="E824" s="114" t="s">
        <v>25</v>
      </c>
      <c r="F824" s="114">
        <v>100</v>
      </c>
      <c r="G824" s="114">
        <v>100</v>
      </c>
      <c r="H824" s="509">
        <f t="shared" si="64"/>
        <v>100</v>
      </c>
      <c r="I824" s="114"/>
      <c r="J824" s="118"/>
      <c r="K824" s="116"/>
      <c r="L824" s="114"/>
      <c r="M824" s="119"/>
      <c r="N824" s="119"/>
      <c r="O824" s="115"/>
      <c r="P824" s="127"/>
      <c r="Q824" s="113"/>
      <c r="R824" s="114"/>
      <c r="S824" s="579"/>
      <c r="T824" s="211"/>
    </row>
    <row r="825" spans="1:20" s="124" customFormat="1" ht="40.5" customHeight="1" x14ac:dyDescent="0.35">
      <c r="A825" s="576"/>
      <c r="B825" s="600"/>
      <c r="C825" s="191"/>
      <c r="D825" s="183" t="s">
        <v>6</v>
      </c>
      <c r="E825" s="191"/>
      <c r="F825" s="184"/>
      <c r="G825" s="184"/>
      <c r="H825" s="187"/>
      <c r="I825" s="187">
        <f>(H820+H821+H822+H823+H824)/5</f>
        <v>100</v>
      </c>
      <c r="J825" s="182"/>
      <c r="K825" s="183" t="s">
        <v>6</v>
      </c>
      <c r="L825" s="184"/>
      <c r="M825" s="188"/>
      <c r="N825" s="188"/>
      <c r="O825" s="187"/>
      <c r="P825" s="187">
        <f>O820</f>
        <v>101.14942528735634</v>
      </c>
      <c r="Q825" s="187">
        <f>(I825+P825)/2</f>
        <v>100.57471264367817</v>
      </c>
      <c r="R825" s="191" t="s">
        <v>31</v>
      </c>
      <c r="S825" s="579"/>
      <c r="T825" s="123"/>
    </row>
    <row r="826" spans="1:20" s="212" customFormat="1" ht="62.25" customHeight="1" x14ac:dyDescent="0.35">
      <c r="A826" s="576"/>
      <c r="B826" s="600"/>
      <c r="C826" s="502" t="s">
        <v>28</v>
      </c>
      <c r="D826" s="146" t="s">
        <v>133</v>
      </c>
      <c r="E826" s="114"/>
      <c r="F826" s="114"/>
      <c r="G826" s="114"/>
      <c r="H826" s="113"/>
      <c r="I826" s="113"/>
      <c r="J826" s="502" t="s">
        <v>28</v>
      </c>
      <c r="K826" s="146" t="str">
        <f>D826</f>
        <v>Реализация основных общеобразовательных программ среднего общего образования</v>
      </c>
      <c r="L826" s="114"/>
      <c r="M826" s="119"/>
      <c r="N826" s="119"/>
      <c r="O826" s="113"/>
      <c r="P826" s="127"/>
      <c r="Q826" s="113"/>
      <c r="R826" s="114"/>
      <c r="S826" s="579"/>
      <c r="T826" s="211"/>
    </row>
    <row r="827" spans="1:20" s="212" customFormat="1" ht="78" customHeight="1" x14ac:dyDescent="0.35">
      <c r="A827" s="576"/>
      <c r="B827" s="600"/>
      <c r="C827" s="114" t="s">
        <v>29</v>
      </c>
      <c r="D827" s="116" t="s">
        <v>134</v>
      </c>
      <c r="E827" s="114" t="s">
        <v>25</v>
      </c>
      <c r="F827" s="114">
        <v>100</v>
      </c>
      <c r="G827" s="114">
        <v>100</v>
      </c>
      <c r="H827" s="509">
        <f t="shared" ref="H827:H831" si="65">IF(G827/F827*100&gt;100,100,G827/F827*100)</f>
        <v>100</v>
      </c>
      <c r="I827" s="114"/>
      <c r="J827" s="118" t="s">
        <v>29</v>
      </c>
      <c r="K827" s="116" t="s">
        <v>89</v>
      </c>
      <c r="L827" s="114" t="s">
        <v>38</v>
      </c>
      <c r="M827" s="114">
        <v>32</v>
      </c>
      <c r="N827" s="114">
        <v>32</v>
      </c>
      <c r="O827" s="115">
        <f>IF(N827/M827*100&gt;110,110,N827/M827*100)</f>
        <v>100</v>
      </c>
      <c r="P827" s="114"/>
      <c r="Q827" s="113"/>
      <c r="R827" s="114"/>
      <c r="S827" s="579"/>
      <c r="T827" s="211"/>
    </row>
    <row r="828" spans="1:20" s="212" customFormat="1" ht="36.75" customHeight="1" x14ac:dyDescent="0.35">
      <c r="A828" s="576"/>
      <c r="B828" s="600"/>
      <c r="C828" s="114" t="s">
        <v>30</v>
      </c>
      <c r="D828" s="116" t="s">
        <v>560</v>
      </c>
      <c r="E828" s="114" t="s">
        <v>25</v>
      </c>
      <c r="F828" s="114">
        <v>100</v>
      </c>
      <c r="G828" s="114">
        <v>100</v>
      </c>
      <c r="H828" s="509">
        <f t="shared" si="65"/>
        <v>100</v>
      </c>
      <c r="I828" s="114"/>
      <c r="J828" s="118"/>
      <c r="K828" s="116"/>
      <c r="L828" s="114"/>
      <c r="M828" s="119"/>
      <c r="N828" s="119"/>
      <c r="O828" s="115"/>
      <c r="P828" s="127"/>
      <c r="Q828" s="113"/>
      <c r="R828" s="114"/>
      <c r="S828" s="579"/>
      <c r="T828" s="211"/>
    </row>
    <row r="829" spans="1:20" s="212" customFormat="1" ht="51.75" customHeight="1" x14ac:dyDescent="0.35">
      <c r="A829" s="576"/>
      <c r="B829" s="600"/>
      <c r="C829" s="114" t="s">
        <v>52</v>
      </c>
      <c r="D829" s="116" t="s">
        <v>468</v>
      </c>
      <c r="E829" s="114" t="s">
        <v>25</v>
      </c>
      <c r="F829" s="114">
        <v>100</v>
      </c>
      <c r="G829" s="114">
        <v>100</v>
      </c>
      <c r="H829" s="509">
        <f t="shared" si="65"/>
        <v>100</v>
      </c>
      <c r="I829" s="114"/>
      <c r="J829" s="118"/>
      <c r="K829" s="116"/>
      <c r="L829" s="114"/>
      <c r="M829" s="119"/>
      <c r="N829" s="119"/>
      <c r="O829" s="115"/>
      <c r="P829" s="127"/>
      <c r="Q829" s="113"/>
      <c r="R829" s="114"/>
      <c r="S829" s="579"/>
      <c r="T829" s="211"/>
    </row>
    <row r="830" spans="1:20" s="212" customFormat="1" ht="72.75" customHeight="1" x14ac:dyDescent="0.35">
      <c r="A830" s="576"/>
      <c r="B830" s="600"/>
      <c r="C830" s="114" t="s">
        <v>53</v>
      </c>
      <c r="D830" s="116" t="s">
        <v>88</v>
      </c>
      <c r="E830" s="114" t="s">
        <v>25</v>
      </c>
      <c r="F830" s="114">
        <v>90</v>
      </c>
      <c r="G830" s="114">
        <v>100</v>
      </c>
      <c r="H830" s="509">
        <f t="shared" si="65"/>
        <v>100</v>
      </c>
      <c r="I830" s="114"/>
      <c r="J830" s="118"/>
      <c r="K830" s="116"/>
      <c r="L830" s="114"/>
      <c r="M830" s="119"/>
      <c r="N830" s="119"/>
      <c r="O830" s="115"/>
      <c r="P830" s="127"/>
      <c r="Q830" s="113"/>
      <c r="R830" s="114"/>
      <c r="S830" s="579"/>
      <c r="T830" s="211"/>
    </row>
    <row r="831" spans="1:20" s="212" customFormat="1" ht="126" customHeight="1" x14ac:dyDescent="0.35">
      <c r="A831" s="576"/>
      <c r="B831" s="600"/>
      <c r="C831" s="114" t="s">
        <v>135</v>
      </c>
      <c r="D831" s="116" t="s">
        <v>130</v>
      </c>
      <c r="E831" s="114" t="s">
        <v>25</v>
      </c>
      <c r="F831" s="114">
        <v>100</v>
      </c>
      <c r="G831" s="114">
        <v>100</v>
      </c>
      <c r="H831" s="509">
        <f t="shared" si="65"/>
        <v>100</v>
      </c>
      <c r="I831" s="114"/>
      <c r="J831" s="118"/>
      <c r="K831" s="116"/>
      <c r="L831" s="114"/>
      <c r="M831" s="119"/>
      <c r="N831" s="119"/>
      <c r="O831" s="115"/>
      <c r="P831" s="127"/>
      <c r="Q831" s="113"/>
      <c r="R831" s="114"/>
      <c r="S831" s="579"/>
      <c r="T831" s="211"/>
    </row>
    <row r="832" spans="1:20" s="331" customFormat="1" ht="40.5" customHeight="1" x14ac:dyDescent="0.35">
      <c r="A832" s="576"/>
      <c r="B832" s="600"/>
      <c r="C832" s="191"/>
      <c r="D832" s="183" t="s">
        <v>6</v>
      </c>
      <c r="E832" s="191"/>
      <c r="F832" s="184"/>
      <c r="G832" s="184"/>
      <c r="H832" s="187"/>
      <c r="I832" s="187">
        <f>(H827+H828+H829+H830+H831)/5</f>
        <v>100</v>
      </c>
      <c r="J832" s="182"/>
      <c r="K832" s="183" t="s">
        <v>6</v>
      </c>
      <c r="L832" s="184"/>
      <c r="M832" s="188"/>
      <c r="N832" s="188"/>
      <c r="O832" s="187"/>
      <c r="P832" s="187">
        <f>O827</f>
        <v>100</v>
      </c>
      <c r="Q832" s="187">
        <f>(I832+P832)/2</f>
        <v>100</v>
      </c>
      <c r="R832" s="191" t="s">
        <v>31</v>
      </c>
      <c r="S832" s="579"/>
      <c r="T832" s="330"/>
    </row>
    <row r="833" spans="1:20" s="212" customFormat="1" ht="45" customHeight="1" x14ac:dyDescent="0.35">
      <c r="A833" s="576"/>
      <c r="B833" s="600"/>
      <c r="C833" s="502" t="s">
        <v>42</v>
      </c>
      <c r="D833" s="146" t="s">
        <v>90</v>
      </c>
      <c r="E833" s="114"/>
      <c r="F833" s="114"/>
      <c r="G833" s="114"/>
      <c r="H833" s="113"/>
      <c r="I833" s="113"/>
      <c r="J833" s="502" t="s">
        <v>42</v>
      </c>
      <c r="K833" s="146" t="s">
        <v>90</v>
      </c>
      <c r="L833" s="114"/>
      <c r="M833" s="119"/>
      <c r="N833" s="119"/>
      <c r="O833" s="113"/>
      <c r="P833" s="127"/>
      <c r="Q833" s="113"/>
      <c r="R833" s="114"/>
      <c r="S833" s="579"/>
      <c r="T833" s="211"/>
    </row>
    <row r="834" spans="1:20" s="212" customFormat="1" ht="48" customHeight="1" x14ac:dyDescent="0.35">
      <c r="A834" s="576"/>
      <c r="B834" s="600"/>
      <c r="C834" s="114" t="s">
        <v>43</v>
      </c>
      <c r="D834" s="116" t="s">
        <v>136</v>
      </c>
      <c r="E834" s="114" t="s">
        <v>25</v>
      </c>
      <c r="F834" s="114">
        <v>100</v>
      </c>
      <c r="G834" s="114">
        <v>100</v>
      </c>
      <c r="H834" s="509">
        <f t="shared" ref="H834:H835" si="66">IF(G834/F834*100&gt;100,100,G834/F834*100)</f>
        <v>100</v>
      </c>
      <c r="I834" s="114"/>
      <c r="J834" s="118" t="s">
        <v>43</v>
      </c>
      <c r="K834" s="116" t="s">
        <v>89</v>
      </c>
      <c r="L834" s="114" t="s">
        <v>38</v>
      </c>
      <c r="M834" s="114">
        <v>207</v>
      </c>
      <c r="N834" s="114">
        <v>207</v>
      </c>
      <c r="O834" s="115">
        <f>IF(N834/M834*100&gt;110,110,N834/M834*100)</f>
        <v>100</v>
      </c>
      <c r="P834" s="127"/>
      <c r="Q834" s="113"/>
      <c r="R834" s="114"/>
      <c r="S834" s="579"/>
      <c r="T834" s="211"/>
    </row>
    <row r="835" spans="1:20" s="212" customFormat="1" ht="81.75" customHeight="1" x14ac:dyDescent="0.35">
      <c r="A835" s="576"/>
      <c r="B835" s="600"/>
      <c r="C835" s="114" t="s">
        <v>137</v>
      </c>
      <c r="D835" s="116" t="s">
        <v>138</v>
      </c>
      <c r="E835" s="114" t="s">
        <v>25</v>
      </c>
      <c r="F835" s="114">
        <v>90</v>
      </c>
      <c r="G835" s="114">
        <v>90</v>
      </c>
      <c r="H835" s="509">
        <f t="shared" si="66"/>
        <v>100</v>
      </c>
      <c r="I835" s="114"/>
      <c r="J835" s="118"/>
      <c r="K835" s="116"/>
      <c r="L835" s="114"/>
      <c r="M835" s="119"/>
      <c r="N835" s="119"/>
      <c r="O835" s="115"/>
      <c r="P835" s="127"/>
      <c r="Q835" s="113"/>
      <c r="R835" s="114"/>
      <c r="S835" s="579"/>
      <c r="T835" s="211"/>
    </row>
    <row r="836" spans="1:20" s="331" customFormat="1" ht="40.5" customHeight="1" x14ac:dyDescent="0.35">
      <c r="A836" s="576"/>
      <c r="B836" s="600"/>
      <c r="C836" s="191"/>
      <c r="D836" s="183" t="s">
        <v>6</v>
      </c>
      <c r="E836" s="191"/>
      <c r="F836" s="184"/>
      <c r="G836" s="184"/>
      <c r="H836" s="187"/>
      <c r="I836" s="187">
        <f>(H834+H835)/2</f>
        <v>100</v>
      </c>
      <c r="J836" s="182"/>
      <c r="K836" s="183" t="s">
        <v>6</v>
      </c>
      <c r="L836" s="184"/>
      <c r="M836" s="188"/>
      <c r="N836" s="188"/>
      <c r="O836" s="187"/>
      <c r="P836" s="187">
        <f>O834</f>
        <v>100</v>
      </c>
      <c r="Q836" s="187">
        <f>(I836+P836)/2</f>
        <v>100</v>
      </c>
      <c r="R836" s="191" t="s">
        <v>31</v>
      </c>
      <c r="S836" s="579"/>
      <c r="T836" s="330"/>
    </row>
    <row r="837" spans="1:20" s="212" customFormat="1" ht="52.5" customHeight="1" x14ac:dyDescent="0.35">
      <c r="A837" s="576"/>
      <c r="B837" s="600"/>
      <c r="C837" s="502" t="s">
        <v>164</v>
      </c>
      <c r="D837" s="146" t="s">
        <v>211</v>
      </c>
      <c r="E837" s="114"/>
      <c r="F837" s="114"/>
      <c r="G837" s="114"/>
      <c r="H837" s="113"/>
      <c r="I837" s="113"/>
      <c r="J837" s="502" t="s">
        <v>164</v>
      </c>
      <c r="K837" s="146" t="str">
        <f>D837</f>
        <v>Реализация дополнительных общеразвивающих программ</v>
      </c>
      <c r="L837" s="114"/>
      <c r="M837" s="119"/>
      <c r="N837" s="119"/>
      <c r="O837" s="113"/>
      <c r="P837" s="127"/>
      <c r="Q837" s="113"/>
      <c r="R837" s="114"/>
      <c r="S837" s="579"/>
      <c r="T837" s="211"/>
    </row>
    <row r="838" spans="1:20" s="212" customFormat="1" ht="90.75" customHeight="1" x14ac:dyDescent="0.35">
      <c r="A838" s="576"/>
      <c r="B838" s="600"/>
      <c r="C838" s="114" t="s">
        <v>165</v>
      </c>
      <c r="D838" s="116" t="s">
        <v>138</v>
      </c>
      <c r="E838" s="114" t="s">
        <v>25</v>
      </c>
      <c r="F838" s="114">
        <v>90</v>
      </c>
      <c r="G838" s="114">
        <v>90</v>
      </c>
      <c r="H838" s="509">
        <f>IF(G838/F838*100&gt;100,100,G838/F838*100)</f>
        <v>100</v>
      </c>
      <c r="I838" s="114"/>
      <c r="J838" s="118" t="s">
        <v>165</v>
      </c>
      <c r="K838" s="116" t="s">
        <v>469</v>
      </c>
      <c r="L838" s="114" t="s">
        <v>339</v>
      </c>
      <c r="M838" s="114">
        <v>36720</v>
      </c>
      <c r="N838" s="114">
        <v>36720</v>
      </c>
      <c r="O838" s="115">
        <f>IF(N838/M838*100&gt;110,110,N838/M838*100)</f>
        <v>100</v>
      </c>
      <c r="P838" s="127"/>
      <c r="Q838" s="113"/>
      <c r="R838" s="114"/>
      <c r="S838" s="579"/>
      <c r="T838" s="211"/>
    </row>
    <row r="839" spans="1:20" s="331" customFormat="1" ht="42.75" customHeight="1" x14ac:dyDescent="0.35">
      <c r="A839" s="576"/>
      <c r="B839" s="600"/>
      <c r="C839" s="191"/>
      <c r="D839" s="183" t="s">
        <v>6</v>
      </c>
      <c r="E839" s="191"/>
      <c r="F839" s="184"/>
      <c r="G839" s="184"/>
      <c r="H839" s="187"/>
      <c r="I839" s="187">
        <f>H838</f>
        <v>100</v>
      </c>
      <c r="J839" s="182"/>
      <c r="K839" s="183" t="s">
        <v>6</v>
      </c>
      <c r="L839" s="184"/>
      <c r="M839" s="188"/>
      <c r="N839" s="188"/>
      <c r="O839" s="187"/>
      <c r="P839" s="187">
        <f>O838</f>
        <v>100</v>
      </c>
      <c r="Q839" s="187">
        <f>(I839+P839)/2</f>
        <v>100</v>
      </c>
      <c r="R839" s="191" t="s">
        <v>31</v>
      </c>
      <c r="S839" s="579"/>
      <c r="T839" s="330"/>
    </row>
    <row r="840" spans="1:20" s="212" customFormat="1" ht="65.25" customHeight="1" x14ac:dyDescent="0.35">
      <c r="A840" s="576">
        <v>54</v>
      </c>
      <c r="B840" s="600" t="s">
        <v>154</v>
      </c>
      <c r="C840" s="502" t="s">
        <v>12</v>
      </c>
      <c r="D840" s="146" t="s">
        <v>128</v>
      </c>
      <c r="E840" s="502"/>
      <c r="F840" s="502"/>
      <c r="G840" s="502"/>
      <c r="H840" s="113"/>
      <c r="I840" s="113"/>
      <c r="J840" s="502" t="s">
        <v>12</v>
      </c>
      <c r="K840" s="146" t="s">
        <v>128</v>
      </c>
      <c r="L840" s="114"/>
      <c r="M840" s="114"/>
      <c r="N840" s="114"/>
      <c r="O840" s="113"/>
      <c r="P840" s="127"/>
      <c r="Q840" s="113"/>
      <c r="R840" s="114"/>
      <c r="S840" s="579" t="s">
        <v>279</v>
      </c>
      <c r="T840" s="211"/>
    </row>
    <row r="841" spans="1:20" s="212" customFormat="1" ht="77.25" customHeight="1" x14ac:dyDescent="0.35">
      <c r="A841" s="576"/>
      <c r="B841" s="600"/>
      <c r="C841" s="114" t="s">
        <v>7</v>
      </c>
      <c r="D841" s="116" t="s">
        <v>129</v>
      </c>
      <c r="E841" s="114" t="s">
        <v>25</v>
      </c>
      <c r="F841" s="114">
        <v>100</v>
      </c>
      <c r="G841" s="114">
        <v>100</v>
      </c>
      <c r="H841" s="509">
        <f t="shared" ref="H841:H845" si="67">IF(G841/F841*100&gt;100,100,G841/F841*100)</f>
        <v>100</v>
      </c>
      <c r="I841" s="114"/>
      <c r="J841" s="114" t="s">
        <v>7</v>
      </c>
      <c r="K841" s="116" t="s">
        <v>89</v>
      </c>
      <c r="L841" s="114" t="s">
        <v>38</v>
      </c>
      <c r="M841" s="114">
        <v>189</v>
      </c>
      <c r="N841" s="114">
        <v>192</v>
      </c>
      <c r="O841" s="115">
        <f>IF(N841/M841*100&gt;110,110,N841/M841*100)</f>
        <v>101.58730158730158</v>
      </c>
      <c r="P841" s="127"/>
      <c r="Q841" s="113"/>
      <c r="R841" s="114"/>
      <c r="S841" s="579"/>
      <c r="T841" s="211"/>
    </row>
    <row r="842" spans="1:20" s="212" customFormat="1" x14ac:dyDescent="0.35">
      <c r="A842" s="576"/>
      <c r="B842" s="600"/>
      <c r="C842" s="114" t="s">
        <v>8</v>
      </c>
      <c r="D842" s="116" t="s">
        <v>561</v>
      </c>
      <c r="E842" s="114" t="s">
        <v>25</v>
      </c>
      <c r="F842" s="114">
        <v>100</v>
      </c>
      <c r="G842" s="114">
        <v>100</v>
      </c>
      <c r="H842" s="509">
        <f t="shared" si="67"/>
        <v>100</v>
      </c>
      <c r="I842" s="114"/>
      <c r="J842" s="114"/>
      <c r="K842" s="503"/>
      <c r="L842" s="114"/>
      <c r="M842" s="117"/>
      <c r="N842" s="117"/>
      <c r="O842" s="115"/>
      <c r="P842" s="127"/>
      <c r="Q842" s="113"/>
      <c r="R842" s="114"/>
      <c r="S842" s="579"/>
      <c r="T842" s="211"/>
    </row>
    <row r="843" spans="1:20" s="212" customFormat="1" ht="57" customHeight="1" x14ac:dyDescent="0.35">
      <c r="A843" s="576"/>
      <c r="B843" s="600"/>
      <c r="C843" s="114" t="s">
        <v>9</v>
      </c>
      <c r="D843" s="116" t="s">
        <v>468</v>
      </c>
      <c r="E843" s="114" t="s">
        <v>25</v>
      </c>
      <c r="F843" s="114">
        <v>100</v>
      </c>
      <c r="G843" s="114">
        <v>100</v>
      </c>
      <c r="H843" s="509">
        <f t="shared" si="67"/>
        <v>100</v>
      </c>
      <c r="I843" s="114"/>
      <c r="J843" s="118"/>
      <c r="K843" s="116"/>
      <c r="L843" s="114"/>
      <c r="M843" s="119"/>
      <c r="N843" s="119"/>
      <c r="O843" s="115"/>
      <c r="P843" s="127"/>
      <c r="Q843" s="113"/>
      <c r="R843" s="114"/>
      <c r="S843" s="579"/>
      <c r="T843" s="211"/>
    </row>
    <row r="844" spans="1:20" s="212" customFormat="1" ht="73.5" customHeight="1" x14ac:dyDescent="0.35">
      <c r="A844" s="576"/>
      <c r="B844" s="600"/>
      <c r="C844" s="114" t="s">
        <v>10</v>
      </c>
      <c r="D844" s="116" t="s">
        <v>88</v>
      </c>
      <c r="E844" s="114" t="s">
        <v>25</v>
      </c>
      <c r="F844" s="114">
        <v>90</v>
      </c>
      <c r="G844" s="114">
        <v>100</v>
      </c>
      <c r="H844" s="509">
        <f t="shared" si="67"/>
        <v>100</v>
      </c>
      <c r="I844" s="114"/>
      <c r="J844" s="118"/>
      <c r="K844" s="116"/>
      <c r="L844" s="114"/>
      <c r="M844" s="119"/>
      <c r="N844" s="119"/>
      <c r="O844" s="115"/>
      <c r="P844" s="127"/>
      <c r="Q844" s="113"/>
      <c r="R844" s="114"/>
      <c r="S844" s="579"/>
      <c r="T844" s="211"/>
    </row>
    <row r="845" spans="1:20" s="212" customFormat="1" ht="128.25" customHeight="1" x14ac:dyDescent="0.35">
      <c r="A845" s="576"/>
      <c r="B845" s="600"/>
      <c r="C845" s="114" t="s">
        <v>35</v>
      </c>
      <c r="D845" s="116" t="s">
        <v>130</v>
      </c>
      <c r="E845" s="114" t="s">
        <v>25</v>
      </c>
      <c r="F845" s="114">
        <v>100</v>
      </c>
      <c r="G845" s="114">
        <v>100</v>
      </c>
      <c r="H845" s="509">
        <f t="shared" si="67"/>
        <v>100</v>
      </c>
      <c r="I845" s="114"/>
      <c r="J845" s="118"/>
      <c r="K845" s="116"/>
      <c r="L845" s="114"/>
      <c r="M845" s="119"/>
      <c r="N845" s="119"/>
      <c r="O845" s="115"/>
      <c r="P845" s="127"/>
      <c r="Q845" s="113"/>
      <c r="R845" s="114"/>
      <c r="S845" s="579"/>
      <c r="T845" s="211"/>
    </row>
    <row r="846" spans="1:20" s="331" customFormat="1" ht="40.5" customHeight="1" x14ac:dyDescent="0.35">
      <c r="A846" s="576"/>
      <c r="B846" s="600"/>
      <c r="C846" s="191"/>
      <c r="D846" s="183" t="s">
        <v>6</v>
      </c>
      <c r="E846" s="191"/>
      <c r="F846" s="184"/>
      <c r="G846" s="184"/>
      <c r="H846" s="187"/>
      <c r="I846" s="187">
        <f>(H841+H842+H843+H844+H845)/5</f>
        <v>100</v>
      </c>
      <c r="J846" s="182"/>
      <c r="K846" s="183" t="s">
        <v>6</v>
      </c>
      <c r="L846" s="184"/>
      <c r="M846" s="188"/>
      <c r="N846" s="188"/>
      <c r="O846" s="187"/>
      <c r="P846" s="187">
        <f>O841</f>
        <v>101.58730158730158</v>
      </c>
      <c r="Q846" s="187">
        <f>(I846+P846)/2</f>
        <v>100.79365079365078</v>
      </c>
      <c r="R846" s="191" t="s">
        <v>31</v>
      </c>
      <c r="S846" s="579"/>
      <c r="T846" s="330"/>
    </row>
    <row r="847" spans="1:20" s="212" customFormat="1" ht="60" customHeight="1" x14ac:dyDescent="0.35">
      <c r="A847" s="576"/>
      <c r="B847" s="600"/>
      <c r="C847" s="502" t="s">
        <v>13</v>
      </c>
      <c r="D847" s="146" t="s">
        <v>131</v>
      </c>
      <c r="E847" s="114"/>
      <c r="F847" s="114"/>
      <c r="G847" s="114"/>
      <c r="H847" s="113"/>
      <c r="I847" s="113"/>
      <c r="J847" s="502" t="s">
        <v>13</v>
      </c>
      <c r="K847" s="146" t="s">
        <v>131</v>
      </c>
      <c r="L847" s="114"/>
      <c r="M847" s="119"/>
      <c r="N847" s="119"/>
      <c r="O847" s="113"/>
      <c r="P847" s="127"/>
      <c r="Q847" s="113"/>
      <c r="R847" s="114"/>
      <c r="S847" s="579"/>
      <c r="T847" s="211"/>
    </row>
    <row r="848" spans="1:20" s="212" customFormat="1" ht="70.5" customHeight="1" x14ac:dyDescent="0.35">
      <c r="A848" s="576"/>
      <c r="B848" s="600"/>
      <c r="C848" s="114" t="s">
        <v>14</v>
      </c>
      <c r="D848" s="116" t="s">
        <v>132</v>
      </c>
      <c r="E848" s="114" t="s">
        <v>25</v>
      </c>
      <c r="F848" s="114">
        <v>100</v>
      </c>
      <c r="G848" s="114">
        <v>100</v>
      </c>
      <c r="H848" s="509">
        <f t="shared" ref="H848:H852" si="68">IF(G848/F848*100&gt;100,100,G848/F848*100)</f>
        <v>100</v>
      </c>
      <c r="I848" s="114"/>
      <c r="J848" s="118" t="s">
        <v>14</v>
      </c>
      <c r="K848" s="116" t="s">
        <v>89</v>
      </c>
      <c r="L848" s="114" t="s">
        <v>38</v>
      </c>
      <c r="M848" s="114">
        <v>233</v>
      </c>
      <c r="N848" s="114">
        <v>236</v>
      </c>
      <c r="O848" s="115">
        <f>IF(N848/M848*100&gt;110,110,N848/M848*100)</f>
        <v>101.28755364806867</v>
      </c>
      <c r="P848" s="114"/>
      <c r="Q848" s="113"/>
      <c r="R848" s="114"/>
      <c r="S848" s="579"/>
      <c r="T848" s="211"/>
    </row>
    <row r="849" spans="1:20" s="212" customFormat="1" ht="41.25" customHeight="1" x14ac:dyDescent="0.35">
      <c r="A849" s="576"/>
      <c r="B849" s="600"/>
      <c r="C849" s="114" t="s">
        <v>15</v>
      </c>
      <c r="D849" s="116" t="s">
        <v>559</v>
      </c>
      <c r="E849" s="114" t="s">
        <v>25</v>
      </c>
      <c r="F849" s="114">
        <v>100</v>
      </c>
      <c r="G849" s="114">
        <v>100</v>
      </c>
      <c r="H849" s="509">
        <f t="shared" si="68"/>
        <v>100</v>
      </c>
      <c r="I849" s="114"/>
      <c r="J849" s="118"/>
      <c r="K849" s="116"/>
      <c r="L849" s="114"/>
      <c r="M849" s="119"/>
      <c r="N849" s="119"/>
      <c r="O849" s="115"/>
      <c r="P849" s="127"/>
      <c r="Q849" s="113"/>
      <c r="R849" s="114"/>
      <c r="S849" s="579"/>
      <c r="T849" s="211"/>
    </row>
    <row r="850" spans="1:20" s="212" customFormat="1" ht="62.25" customHeight="1" x14ac:dyDescent="0.35">
      <c r="A850" s="576"/>
      <c r="B850" s="600"/>
      <c r="C850" s="114" t="s">
        <v>39</v>
      </c>
      <c r="D850" s="116" t="s">
        <v>468</v>
      </c>
      <c r="E850" s="114" t="s">
        <v>25</v>
      </c>
      <c r="F850" s="114">
        <v>100</v>
      </c>
      <c r="G850" s="114">
        <v>100</v>
      </c>
      <c r="H850" s="509">
        <f t="shared" si="68"/>
        <v>100</v>
      </c>
      <c r="I850" s="114"/>
      <c r="J850" s="118"/>
      <c r="K850" s="116"/>
      <c r="L850" s="114"/>
      <c r="M850" s="119"/>
      <c r="N850" s="119"/>
      <c r="O850" s="115"/>
      <c r="P850" s="127"/>
      <c r="Q850" s="113"/>
      <c r="R850" s="114"/>
      <c r="S850" s="579"/>
      <c r="T850" s="211"/>
    </row>
    <row r="851" spans="1:20" s="212" customFormat="1" ht="70.5" customHeight="1" x14ac:dyDescent="0.35">
      <c r="A851" s="576"/>
      <c r="B851" s="600"/>
      <c r="C851" s="114" t="s">
        <v>45</v>
      </c>
      <c r="D851" s="116" t="s">
        <v>88</v>
      </c>
      <c r="E851" s="114" t="s">
        <v>25</v>
      </c>
      <c r="F851" s="114">
        <v>90</v>
      </c>
      <c r="G851" s="114">
        <v>90</v>
      </c>
      <c r="H851" s="509">
        <f t="shared" si="68"/>
        <v>100</v>
      </c>
      <c r="I851" s="114"/>
      <c r="J851" s="118"/>
      <c r="K851" s="116"/>
      <c r="L851" s="114"/>
      <c r="M851" s="119"/>
      <c r="N851" s="119"/>
      <c r="O851" s="115"/>
      <c r="P851" s="127"/>
      <c r="Q851" s="113"/>
      <c r="R851" s="114"/>
      <c r="S851" s="579"/>
      <c r="T851" s="211"/>
    </row>
    <row r="852" spans="1:20" s="212" customFormat="1" ht="129" customHeight="1" x14ac:dyDescent="0.35">
      <c r="A852" s="576"/>
      <c r="B852" s="600"/>
      <c r="C852" s="114" t="s">
        <v>66</v>
      </c>
      <c r="D852" s="116" t="s">
        <v>130</v>
      </c>
      <c r="E852" s="114" t="s">
        <v>25</v>
      </c>
      <c r="F852" s="114">
        <v>100</v>
      </c>
      <c r="G852" s="114">
        <v>100</v>
      </c>
      <c r="H852" s="509">
        <f t="shared" si="68"/>
        <v>100</v>
      </c>
      <c r="I852" s="114"/>
      <c r="J852" s="118"/>
      <c r="K852" s="116"/>
      <c r="L852" s="114"/>
      <c r="M852" s="119"/>
      <c r="N852" s="119"/>
      <c r="O852" s="115"/>
      <c r="P852" s="127"/>
      <c r="Q852" s="113"/>
      <c r="R852" s="114"/>
      <c r="S852" s="579"/>
      <c r="T852" s="211"/>
    </row>
    <row r="853" spans="1:20" s="331" customFormat="1" ht="40.5" customHeight="1" x14ac:dyDescent="0.35">
      <c r="A853" s="576"/>
      <c r="B853" s="600"/>
      <c r="C853" s="191"/>
      <c r="D853" s="183" t="s">
        <v>6</v>
      </c>
      <c r="E853" s="191"/>
      <c r="F853" s="184"/>
      <c r="G853" s="184"/>
      <c r="H853" s="187"/>
      <c r="I853" s="187">
        <f>(H848+H849+H850+H851+H852)/5</f>
        <v>100</v>
      </c>
      <c r="J853" s="182"/>
      <c r="K853" s="183" t="s">
        <v>6</v>
      </c>
      <c r="L853" s="184"/>
      <c r="M853" s="188"/>
      <c r="N853" s="188"/>
      <c r="O853" s="187"/>
      <c r="P853" s="187">
        <f>O848</f>
        <v>101.28755364806867</v>
      </c>
      <c r="Q853" s="187">
        <f>(I853+P853)/2</f>
        <v>100.64377682403433</v>
      </c>
      <c r="R853" s="191" t="s">
        <v>31</v>
      </c>
      <c r="S853" s="579"/>
      <c r="T853" s="330"/>
    </row>
    <row r="854" spans="1:20" s="212" customFormat="1" ht="63.75" customHeight="1" x14ac:dyDescent="0.35">
      <c r="A854" s="576"/>
      <c r="B854" s="600"/>
      <c r="C854" s="502" t="s">
        <v>28</v>
      </c>
      <c r="D854" s="146" t="s">
        <v>133</v>
      </c>
      <c r="E854" s="114"/>
      <c r="F854" s="114"/>
      <c r="G854" s="114"/>
      <c r="H854" s="113"/>
      <c r="I854" s="113"/>
      <c r="J854" s="502" t="s">
        <v>28</v>
      </c>
      <c r="K854" s="146" t="str">
        <f>D854</f>
        <v>Реализация основных общеобразовательных программ среднего общего образования</v>
      </c>
      <c r="L854" s="114"/>
      <c r="M854" s="119"/>
      <c r="N854" s="119"/>
      <c r="O854" s="113"/>
      <c r="P854" s="127"/>
      <c r="Q854" s="113"/>
      <c r="R854" s="114"/>
      <c r="S854" s="579"/>
      <c r="T854" s="211"/>
    </row>
    <row r="855" spans="1:20" s="212" customFormat="1" ht="75" customHeight="1" x14ac:dyDescent="0.35">
      <c r="A855" s="576"/>
      <c r="B855" s="600"/>
      <c r="C855" s="114" t="s">
        <v>29</v>
      </c>
      <c r="D855" s="116" t="s">
        <v>134</v>
      </c>
      <c r="E855" s="114" t="s">
        <v>25</v>
      </c>
      <c r="F855" s="114">
        <v>100</v>
      </c>
      <c r="G855" s="114">
        <v>100</v>
      </c>
      <c r="H855" s="509">
        <f t="shared" ref="H855:H859" si="69">IF(G855/F855*100&gt;100,100,G855/F855*100)</f>
        <v>100</v>
      </c>
      <c r="I855" s="114"/>
      <c r="J855" s="118" t="s">
        <v>29</v>
      </c>
      <c r="K855" s="116" t="s">
        <v>89</v>
      </c>
      <c r="L855" s="114" t="s">
        <v>38</v>
      </c>
      <c r="M855" s="114">
        <v>30</v>
      </c>
      <c r="N855" s="114">
        <v>30</v>
      </c>
      <c r="O855" s="115">
        <f>IF(N855/M855*100&gt;110,110,N855/M855*100)</f>
        <v>100</v>
      </c>
      <c r="P855" s="114"/>
      <c r="Q855" s="113"/>
      <c r="R855" s="114"/>
      <c r="S855" s="579"/>
      <c r="T855" s="211"/>
    </row>
    <row r="856" spans="1:20" s="212" customFormat="1" x14ac:dyDescent="0.35">
      <c r="A856" s="576"/>
      <c r="B856" s="600"/>
      <c r="C856" s="114" t="s">
        <v>30</v>
      </c>
      <c r="D856" s="116" t="s">
        <v>560</v>
      </c>
      <c r="E856" s="114" t="s">
        <v>25</v>
      </c>
      <c r="F856" s="114">
        <v>100</v>
      </c>
      <c r="G856" s="114">
        <v>100</v>
      </c>
      <c r="H856" s="509">
        <f t="shared" si="69"/>
        <v>100</v>
      </c>
      <c r="I856" s="114"/>
      <c r="J856" s="118"/>
      <c r="K856" s="116"/>
      <c r="L856" s="114"/>
      <c r="M856" s="119"/>
      <c r="N856" s="119"/>
      <c r="O856" s="115"/>
      <c r="P856" s="127"/>
      <c r="Q856" s="113"/>
      <c r="R856" s="114"/>
      <c r="S856" s="579"/>
      <c r="T856" s="211"/>
    </row>
    <row r="857" spans="1:20" s="212" customFormat="1" ht="45" customHeight="1" x14ac:dyDescent="0.35">
      <c r="A857" s="576"/>
      <c r="B857" s="600"/>
      <c r="C857" s="114" t="s">
        <v>52</v>
      </c>
      <c r="D857" s="116" t="s">
        <v>468</v>
      </c>
      <c r="E857" s="114" t="s">
        <v>25</v>
      </c>
      <c r="F857" s="114">
        <v>100</v>
      </c>
      <c r="G857" s="114">
        <v>100</v>
      </c>
      <c r="H857" s="509">
        <f t="shared" si="69"/>
        <v>100</v>
      </c>
      <c r="I857" s="114"/>
      <c r="J857" s="118"/>
      <c r="K857" s="116"/>
      <c r="L857" s="114"/>
      <c r="M857" s="119"/>
      <c r="N857" s="119"/>
      <c r="O857" s="115"/>
      <c r="P857" s="127"/>
      <c r="Q857" s="113"/>
      <c r="R857" s="114"/>
      <c r="S857" s="579"/>
      <c r="T857" s="211"/>
    </row>
    <row r="858" spans="1:20" s="212" customFormat="1" ht="69" customHeight="1" x14ac:dyDescent="0.35">
      <c r="A858" s="576"/>
      <c r="B858" s="600"/>
      <c r="C858" s="114" t="s">
        <v>53</v>
      </c>
      <c r="D858" s="116" t="s">
        <v>88</v>
      </c>
      <c r="E858" s="114" t="s">
        <v>25</v>
      </c>
      <c r="F858" s="114">
        <v>90</v>
      </c>
      <c r="G858" s="114">
        <v>90</v>
      </c>
      <c r="H858" s="509">
        <f t="shared" si="69"/>
        <v>100</v>
      </c>
      <c r="I858" s="114"/>
      <c r="J858" s="118"/>
      <c r="K858" s="116"/>
      <c r="L858" s="114"/>
      <c r="M858" s="119"/>
      <c r="N858" s="119"/>
      <c r="O858" s="115"/>
      <c r="P858" s="127"/>
      <c r="Q858" s="113"/>
      <c r="R858" s="114"/>
      <c r="S858" s="579"/>
      <c r="T858" s="211"/>
    </row>
    <row r="859" spans="1:20" s="212" customFormat="1" ht="131.25" customHeight="1" x14ac:dyDescent="0.35">
      <c r="A859" s="576"/>
      <c r="B859" s="600"/>
      <c r="C859" s="114" t="s">
        <v>135</v>
      </c>
      <c r="D859" s="116" t="s">
        <v>130</v>
      </c>
      <c r="E859" s="114" t="s">
        <v>25</v>
      </c>
      <c r="F859" s="114">
        <v>100</v>
      </c>
      <c r="G859" s="114">
        <v>100</v>
      </c>
      <c r="H859" s="509">
        <f t="shared" si="69"/>
        <v>100</v>
      </c>
      <c r="I859" s="114"/>
      <c r="J859" s="118"/>
      <c r="K859" s="116"/>
      <c r="L859" s="114"/>
      <c r="M859" s="119"/>
      <c r="N859" s="119"/>
      <c r="O859" s="115"/>
      <c r="P859" s="127"/>
      <c r="Q859" s="113"/>
      <c r="R859" s="114"/>
      <c r="S859" s="579"/>
      <c r="T859" s="211"/>
    </row>
    <row r="860" spans="1:20" s="331" customFormat="1" ht="40.5" customHeight="1" x14ac:dyDescent="0.35">
      <c r="A860" s="576"/>
      <c r="B860" s="600"/>
      <c r="C860" s="191"/>
      <c r="D860" s="183" t="s">
        <v>6</v>
      </c>
      <c r="E860" s="191"/>
      <c r="F860" s="184"/>
      <c r="G860" s="184"/>
      <c r="H860" s="187"/>
      <c r="I860" s="187">
        <f>(H855+H856+H857+H858+H859)/5</f>
        <v>100</v>
      </c>
      <c r="J860" s="182"/>
      <c r="K860" s="183" t="s">
        <v>6</v>
      </c>
      <c r="L860" s="184"/>
      <c r="M860" s="188"/>
      <c r="N860" s="188"/>
      <c r="O860" s="187"/>
      <c r="P860" s="187">
        <f>O855</f>
        <v>100</v>
      </c>
      <c r="Q860" s="187">
        <f>(I860+P860)/2</f>
        <v>100</v>
      </c>
      <c r="R860" s="191" t="s">
        <v>31</v>
      </c>
      <c r="S860" s="579"/>
      <c r="T860" s="330"/>
    </row>
    <row r="861" spans="1:20" s="212" customFormat="1" x14ac:dyDescent="0.35">
      <c r="A861" s="576"/>
      <c r="B861" s="600"/>
      <c r="C861" s="502" t="s">
        <v>42</v>
      </c>
      <c r="D861" s="146" t="s">
        <v>90</v>
      </c>
      <c r="E861" s="114"/>
      <c r="F861" s="114"/>
      <c r="G861" s="114"/>
      <c r="H861" s="113"/>
      <c r="I861" s="113"/>
      <c r="J861" s="502" t="s">
        <v>42</v>
      </c>
      <c r="K861" s="146" t="s">
        <v>90</v>
      </c>
      <c r="L861" s="114"/>
      <c r="M861" s="119"/>
      <c r="N861" s="119"/>
      <c r="O861" s="113"/>
      <c r="P861" s="127"/>
      <c r="Q861" s="113"/>
      <c r="R861" s="114"/>
      <c r="S861" s="579"/>
      <c r="T861" s="211"/>
    </row>
    <row r="862" spans="1:20" s="212" customFormat="1" ht="42.75" customHeight="1" x14ac:dyDescent="0.35">
      <c r="A862" s="576"/>
      <c r="B862" s="600"/>
      <c r="C862" s="114" t="s">
        <v>43</v>
      </c>
      <c r="D862" s="116" t="s">
        <v>136</v>
      </c>
      <c r="E862" s="114" t="s">
        <v>25</v>
      </c>
      <c r="F862" s="114">
        <v>100</v>
      </c>
      <c r="G862" s="114">
        <v>100</v>
      </c>
      <c r="H862" s="509">
        <f t="shared" ref="H862:H863" si="70">IF(G862/F862*100&gt;100,100,G862/F862*100)</f>
        <v>100</v>
      </c>
      <c r="I862" s="114"/>
      <c r="J862" s="118" t="s">
        <v>43</v>
      </c>
      <c r="K862" s="116" t="s">
        <v>89</v>
      </c>
      <c r="L862" s="114" t="s">
        <v>38</v>
      </c>
      <c r="M862" s="114">
        <v>87</v>
      </c>
      <c r="N862" s="114">
        <v>87</v>
      </c>
      <c r="O862" s="115">
        <f>IF(N862/M862*100&gt;110,110,N862/M862*100)</f>
        <v>100</v>
      </c>
      <c r="P862" s="127"/>
      <c r="Q862" s="113"/>
      <c r="R862" s="114"/>
      <c r="S862" s="579"/>
      <c r="T862" s="211"/>
    </row>
    <row r="863" spans="1:20" s="212" customFormat="1" ht="84.75" customHeight="1" x14ac:dyDescent="0.35">
      <c r="A863" s="576"/>
      <c r="B863" s="600"/>
      <c r="C863" s="114" t="s">
        <v>137</v>
      </c>
      <c r="D863" s="116" t="s">
        <v>138</v>
      </c>
      <c r="E863" s="114" t="s">
        <v>25</v>
      </c>
      <c r="F863" s="114">
        <v>90</v>
      </c>
      <c r="G863" s="114">
        <v>90</v>
      </c>
      <c r="H863" s="509">
        <f t="shared" si="70"/>
        <v>100</v>
      </c>
      <c r="I863" s="114"/>
      <c r="J863" s="118"/>
      <c r="K863" s="116"/>
      <c r="L863" s="114"/>
      <c r="M863" s="119"/>
      <c r="N863" s="119"/>
      <c r="O863" s="115"/>
      <c r="P863" s="127"/>
      <c r="Q863" s="113"/>
      <c r="R863" s="114"/>
      <c r="S863" s="579"/>
      <c r="T863" s="211"/>
    </row>
    <row r="864" spans="1:20" s="331" customFormat="1" ht="40.5" customHeight="1" x14ac:dyDescent="0.35">
      <c r="A864" s="576"/>
      <c r="B864" s="600"/>
      <c r="C864" s="191"/>
      <c r="D864" s="183" t="s">
        <v>6</v>
      </c>
      <c r="E864" s="191"/>
      <c r="F864" s="184"/>
      <c r="G864" s="184"/>
      <c r="H864" s="187"/>
      <c r="I864" s="187">
        <f>(H862+H863)/2</f>
        <v>100</v>
      </c>
      <c r="J864" s="182"/>
      <c r="K864" s="183" t="s">
        <v>6</v>
      </c>
      <c r="L864" s="184"/>
      <c r="M864" s="188"/>
      <c r="N864" s="188"/>
      <c r="O864" s="187"/>
      <c r="P864" s="187">
        <f>O862</f>
        <v>100</v>
      </c>
      <c r="Q864" s="187">
        <f>(I864+P864)/2</f>
        <v>100</v>
      </c>
      <c r="R864" s="191" t="s">
        <v>31</v>
      </c>
      <c r="S864" s="579"/>
      <c r="T864" s="330"/>
    </row>
    <row r="865" spans="1:20" s="212" customFormat="1" ht="46.5" customHeight="1" x14ac:dyDescent="0.35">
      <c r="A865" s="576"/>
      <c r="B865" s="600"/>
      <c r="C865" s="502" t="s">
        <v>164</v>
      </c>
      <c r="D865" s="146" t="s">
        <v>211</v>
      </c>
      <c r="E865" s="114"/>
      <c r="F865" s="114"/>
      <c r="G865" s="114"/>
      <c r="H865" s="113"/>
      <c r="I865" s="113"/>
      <c r="J865" s="502" t="s">
        <v>164</v>
      </c>
      <c r="K865" s="146" t="str">
        <f>D865</f>
        <v>Реализация дополнительных общеразвивающих программ</v>
      </c>
      <c r="L865" s="114"/>
      <c r="M865" s="119"/>
      <c r="N865" s="119"/>
      <c r="O865" s="113"/>
      <c r="P865" s="127"/>
      <c r="Q865" s="113"/>
      <c r="R865" s="114"/>
      <c r="S865" s="579"/>
      <c r="T865" s="211"/>
    </row>
    <row r="866" spans="1:20" s="212" customFormat="1" ht="86.25" customHeight="1" x14ac:dyDescent="0.35">
      <c r="A866" s="576"/>
      <c r="B866" s="600"/>
      <c r="C866" s="114" t="s">
        <v>165</v>
      </c>
      <c r="D866" s="116" t="s">
        <v>138</v>
      </c>
      <c r="E866" s="114" t="s">
        <v>25</v>
      </c>
      <c r="F866" s="114">
        <v>90</v>
      </c>
      <c r="G866" s="114">
        <v>90</v>
      </c>
      <c r="H866" s="509">
        <f>IF(G866/F866*100&gt;100,100,G866/F866*100)</f>
        <v>100</v>
      </c>
      <c r="I866" s="114"/>
      <c r="J866" s="118" t="s">
        <v>165</v>
      </c>
      <c r="K866" s="116" t="s">
        <v>469</v>
      </c>
      <c r="L866" s="114" t="s">
        <v>339</v>
      </c>
      <c r="M866" s="114">
        <v>36720</v>
      </c>
      <c r="N866" s="114">
        <v>39099</v>
      </c>
      <c r="O866" s="115">
        <f>IF(N866/M866*100&gt;110,110,N866/M866*100)</f>
        <v>106.47875816993464</v>
      </c>
      <c r="P866" s="127"/>
      <c r="Q866" s="113"/>
      <c r="R866" s="114"/>
      <c r="S866" s="579"/>
      <c r="T866" s="211"/>
    </row>
    <row r="867" spans="1:20" s="331" customFormat="1" ht="60.75" customHeight="1" x14ac:dyDescent="0.35">
      <c r="A867" s="576"/>
      <c r="B867" s="600"/>
      <c r="C867" s="191"/>
      <c r="D867" s="183" t="s">
        <v>6</v>
      </c>
      <c r="E867" s="191"/>
      <c r="F867" s="184"/>
      <c r="G867" s="184"/>
      <c r="H867" s="187"/>
      <c r="I867" s="187">
        <f>H866</f>
        <v>100</v>
      </c>
      <c r="J867" s="182"/>
      <c r="K867" s="183" t="s">
        <v>6</v>
      </c>
      <c r="L867" s="184"/>
      <c r="M867" s="188"/>
      <c r="N867" s="188"/>
      <c r="O867" s="187"/>
      <c r="P867" s="187">
        <f>O866</f>
        <v>106.47875816993464</v>
      </c>
      <c r="Q867" s="187">
        <f>(I867+P867)/2</f>
        <v>103.23937908496731</v>
      </c>
      <c r="R867" s="191" t="s">
        <v>31</v>
      </c>
      <c r="S867" s="579"/>
      <c r="T867" s="330"/>
    </row>
    <row r="868" spans="1:20" s="212" customFormat="1" ht="66" customHeight="1" x14ac:dyDescent="0.35">
      <c r="A868" s="576">
        <v>55</v>
      </c>
      <c r="B868" s="600" t="s">
        <v>155</v>
      </c>
      <c r="C868" s="502" t="s">
        <v>12</v>
      </c>
      <c r="D868" s="146" t="s">
        <v>128</v>
      </c>
      <c r="E868" s="502"/>
      <c r="F868" s="502"/>
      <c r="G868" s="502"/>
      <c r="H868" s="113"/>
      <c r="I868" s="113"/>
      <c r="J868" s="502" t="s">
        <v>12</v>
      </c>
      <c r="K868" s="146" t="s">
        <v>128</v>
      </c>
      <c r="L868" s="114"/>
      <c r="M868" s="114"/>
      <c r="N868" s="114"/>
      <c r="O868" s="113"/>
      <c r="P868" s="127"/>
      <c r="Q868" s="113"/>
      <c r="R868" s="114"/>
      <c r="S868" s="579" t="s">
        <v>280</v>
      </c>
      <c r="T868" s="211"/>
    </row>
    <row r="869" spans="1:20" s="212" customFormat="1" ht="66" customHeight="1" x14ac:dyDescent="0.35">
      <c r="A869" s="576"/>
      <c r="B869" s="600"/>
      <c r="C869" s="114" t="s">
        <v>7</v>
      </c>
      <c r="D869" s="116" t="s">
        <v>129</v>
      </c>
      <c r="E869" s="114" t="s">
        <v>25</v>
      </c>
      <c r="F869" s="114">
        <v>100</v>
      </c>
      <c r="G869" s="114">
        <v>100</v>
      </c>
      <c r="H869" s="509">
        <f t="shared" ref="H869:H873" si="71">IF(G869/F869*100&gt;100,100,G869/F869*100)</f>
        <v>100</v>
      </c>
      <c r="I869" s="114"/>
      <c r="J869" s="114" t="s">
        <v>7</v>
      </c>
      <c r="K869" s="116" t="s">
        <v>89</v>
      </c>
      <c r="L869" s="114" t="s">
        <v>38</v>
      </c>
      <c r="M869" s="114">
        <v>314</v>
      </c>
      <c r="N869" s="114">
        <v>315</v>
      </c>
      <c r="O869" s="115">
        <f>IF(N869/M869*100&gt;110,110,N869/M869*100)</f>
        <v>100.31847133757962</v>
      </c>
      <c r="P869" s="127"/>
      <c r="Q869" s="113"/>
      <c r="R869" s="114"/>
      <c r="S869" s="579"/>
      <c r="T869" s="211"/>
    </row>
    <row r="870" spans="1:20" s="212" customFormat="1" x14ac:dyDescent="0.35">
      <c r="A870" s="576"/>
      <c r="B870" s="600"/>
      <c r="C870" s="114" t="s">
        <v>8</v>
      </c>
      <c r="D870" s="116" t="s">
        <v>561</v>
      </c>
      <c r="E870" s="114" t="s">
        <v>25</v>
      </c>
      <c r="F870" s="114">
        <v>100</v>
      </c>
      <c r="G870" s="114">
        <v>100</v>
      </c>
      <c r="H870" s="509">
        <f t="shared" si="71"/>
        <v>100</v>
      </c>
      <c r="I870" s="114"/>
      <c r="J870" s="114"/>
      <c r="K870" s="503"/>
      <c r="L870" s="114"/>
      <c r="M870" s="117"/>
      <c r="N870" s="117"/>
      <c r="O870" s="115"/>
      <c r="P870" s="127"/>
      <c r="Q870" s="113"/>
      <c r="R870" s="114"/>
      <c r="S870" s="579"/>
      <c r="T870" s="211"/>
    </row>
    <row r="871" spans="1:20" s="212" customFormat="1" ht="45.75" customHeight="1" x14ac:dyDescent="0.35">
      <c r="A871" s="576"/>
      <c r="B871" s="600"/>
      <c r="C871" s="114" t="s">
        <v>9</v>
      </c>
      <c r="D871" s="116" t="s">
        <v>468</v>
      </c>
      <c r="E871" s="114" t="s">
        <v>25</v>
      </c>
      <c r="F871" s="114">
        <v>100</v>
      </c>
      <c r="G871" s="114">
        <v>100</v>
      </c>
      <c r="H871" s="509">
        <f t="shared" si="71"/>
        <v>100</v>
      </c>
      <c r="I871" s="114"/>
      <c r="J871" s="118"/>
      <c r="K871" s="116"/>
      <c r="L871" s="114"/>
      <c r="M871" s="119"/>
      <c r="N871" s="119"/>
      <c r="O871" s="115"/>
      <c r="P871" s="127"/>
      <c r="Q871" s="113"/>
      <c r="R871" s="114"/>
      <c r="S871" s="579"/>
      <c r="T871" s="211"/>
    </row>
    <row r="872" spans="1:20" s="212" customFormat="1" ht="69.75" customHeight="1" x14ac:dyDescent="0.35">
      <c r="A872" s="576"/>
      <c r="B872" s="600"/>
      <c r="C872" s="114" t="s">
        <v>10</v>
      </c>
      <c r="D872" s="116" t="s">
        <v>88</v>
      </c>
      <c r="E872" s="114" t="s">
        <v>25</v>
      </c>
      <c r="F872" s="114">
        <v>90</v>
      </c>
      <c r="G872" s="114">
        <v>90</v>
      </c>
      <c r="H872" s="509">
        <f t="shared" si="71"/>
        <v>100</v>
      </c>
      <c r="I872" s="114"/>
      <c r="J872" s="118"/>
      <c r="K872" s="116"/>
      <c r="L872" s="114"/>
      <c r="M872" s="119"/>
      <c r="N872" s="119"/>
      <c r="O872" s="115"/>
      <c r="P872" s="127"/>
      <c r="Q872" s="113"/>
      <c r="R872" s="114"/>
      <c r="S872" s="579"/>
      <c r="T872" s="211"/>
    </row>
    <row r="873" spans="1:20" s="212" customFormat="1" ht="113.25" customHeight="1" x14ac:dyDescent="0.35">
      <c r="A873" s="576"/>
      <c r="B873" s="600"/>
      <c r="C873" s="114" t="s">
        <v>35</v>
      </c>
      <c r="D873" s="116" t="s">
        <v>130</v>
      </c>
      <c r="E873" s="114" t="s">
        <v>25</v>
      </c>
      <c r="F873" s="114">
        <v>100</v>
      </c>
      <c r="G873" s="114">
        <v>100</v>
      </c>
      <c r="H873" s="509">
        <f t="shared" si="71"/>
        <v>100</v>
      </c>
      <c r="I873" s="114"/>
      <c r="J873" s="118"/>
      <c r="K873" s="116"/>
      <c r="L873" s="114"/>
      <c r="M873" s="119"/>
      <c r="N873" s="119"/>
      <c r="O873" s="115"/>
      <c r="P873" s="127"/>
      <c r="Q873" s="113"/>
      <c r="R873" s="114"/>
      <c r="S873" s="579"/>
      <c r="T873" s="211"/>
    </row>
    <row r="874" spans="1:20" s="331" customFormat="1" ht="40.5" customHeight="1" x14ac:dyDescent="0.35">
      <c r="A874" s="576"/>
      <c r="B874" s="600"/>
      <c r="C874" s="191"/>
      <c r="D874" s="183" t="s">
        <v>6</v>
      </c>
      <c r="E874" s="191"/>
      <c r="F874" s="184"/>
      <c r="G874" s="184"/>
      <c r="H874" s="187"/>
      <c r="I874" s="187">
        <f>(H869+H870+H871+H872+H873)/5</f>
        <v>100</v>
      </c>
      <c r="J874" s="182"/>
      <c r="K874" s="183" t="s">
        <v>6</v>
      </c>
      <c r="L874" s="184"/>
      <c r="M874" s="188"/>
      <c r="N874" s="188"/>
      <c r="O874" s="187"/>
      <c r="P874" s="187">
        <f>O869</f>
        <v>100.31847133757962</v>
      </c>
      <c r="Q874" s="187">
        <f>(I874+P874)/2</f>
        <v>100.15923566878982</v>
      </c>
      <c r="R874" s="191" t="s">
        <v>31</v>
      </c>
      <c r="S874" s="579"/>
      <c r="T874" s="330"/>
    </row>
    <row r="875" spans="1:20" s="212" customFormat="1" ht="62.25" customHeight="1" x14ac:dyDescent="0.35">
      <c r="A875" s="576"/>
      <c r="B875" s="600"/>
      <c r="C875" s="502" t="s">
        <v>13</v>
      </c>
      <c r="D875" s="146" t="s">
        <v>131</v>
      </c>
      <c r="E875" s="114"/>
      <c r="F875" s="114"/>
      <c r="G875" s="114"/>
      <c r="H875" s="113"/>
      <c r="I875" s="113"/>
      <c r="J875" s="502" t="s">
        <v>13</v>
      </c>
      <c r="K875" s="146" t="s">
        <v>131</v>
      </c>
      <c r="L875" s="114"/>
      <c r="M875" s="119"/>
      <c r="N875" s="119"/>
      <c r="O875" s="113"/>
      <c r="P875" s="127"/>
      <c r="Q875" s="113"/>
      <c r="R875" s="114"/>
      <c r="S875" s="579"/>
      <c r="T875" s="211"/>
    </row>
    <row r="876" spans="1:20" s="212" customFormat="1" ht="69" customHeight="1" x14ac:dyDescent="0.35">
      <c r="A876" s="576"/>
      <c r="B876" s="600"/>
      <c r="C876" s="114" t="s">
        <v>14</v>
      </c>
      <c r="D876" s="116" t="s">
        <v>132</v>
      </c>
      <c r="E876" s="114" t="s">
        <v>25</v>
      </c>
      <c r="F876" s="114">
        <v>100</v>
      </c>
      <c r="G876" s="114">
        <v>100</v>
      </c>
      <c r="H876" s="509">
        <f t="shared" ref="H876:H880" si="72">IF(G876/F876*100&gt;100,100,G876/F876*100)</f>
        <v>100</v>
      </c>
      <c r="I876" s="114"/>
      <c r="J876" s="118" t="s">
        <v>14</v>
      </c>
      <c r="K876" s="116" t="s">
        <v>89</v>
      </c>
      <c r="L876" s="114" t="s">
        <v>38</v>
      </c>
      <c r="M876" s="114">
        <v>373</v>
      </c>
      <c r="N876" s="114">
        <v>371</v>
      </c>
      <c r="O876" s="115">
        <f>IF(N876/M876*100&gt;110,110,N876/M876*100)</f>
        <v>99.463806970509381</v>
      </c>
      <c r="P876" s="114"/>
      <c r="Q876" s="113"/>
      <c r="R876" s="114"/>
      <c r="S876" s="579"/>
      <c r="T876" s="211"/>
    </row>
    <row r="877" spans="1:20" s="212" customFormat="1" x14ac:dyDescent="0.35">
      <c r="A877" s="576"/>
      <c r="B877" s="600"/>
      <c r="C877" s="114" t="s">
        <v>15</v>
      </c>
      <c r="D877" s="116" t="s">
        <v>559</v>
      </c>
      <c r="E877" s="114" t="s">
        <v>25</v>
      </c>
      <c r="F877" s="114">
        <v>100</v>
      </c>
      <c r="G877" s="114">
        <v>100</v>
      </c>
      <c r="H877" s="509">
        <f t="shared" si="72"/>
        <v>100</v>
      </c>
      <c r="I877" s="114"/>
      <c r="J877" s="118"/>
      <c r="K877" s="116"/>
      <c r="L877" s="114"/>
      <c r="M877" s="119"/>
      <c r="N877" s="119"/>
      <c r="O877" s="115"/>
      <c r="P877" s="127"/>
      <c r="Q877" s="113"/>
      <c r="R877" s="114"/>
      <c r="S877" s="579"/>
      <c r="T877" s="211"/>
    </row>
    <row r="878" spans="1:20" s="212" customFormat="1" ht="54.75" customHeight="1" x14ac:dyDescent="0.35">
      <c r="A878" s="576"/>
      <c r="B878" s="600"/>
      <c r="C878" s="114" t="s">
        <v>39</v>
      </c>
      <c r="D878" s="116" t="s">
        <v>468</v>
      </c>
      <c r="E878" s="114" t="s">
        <v>25</v>
      </c>
      <c r="F878" s="114">
        <v>100</v>
      </c>
      <c r="G878" s="114">
        <v>100</v>
      </c>
      <c r="H878" s="509">
        <f t="shared" si="72"/>
        <v>100</v>
      </c>
      <c r="I878" s="114"/>
      <c r="J878" s="118"/>
      <c r="K878" s="116"/>
      <c r="L878" s="114"/>
      <c r="M878" s="119"/>
      <c r="N878" s="119"/>
      <c r="O878" s="115"/>
      <c r="P878" s="127"/>
      <c r="Q878" s="113"/>
      <c r="R878" s="114"/>
      <c r="S878" s="579"/>
      <c r="T878" s="211"/>
    </row>
    <row r="879" spans="1:20" s="212" customFormat="1" ht="73.5" customHeight="1" x14ac:dyDescent="0.35">
      <c r="A879" s="576"/>
      <c r="B879" s="600"/>
      <c r="C879" s="114" t="s">
        <v>45</v>
      </c>
      <c r="D879" s="116" t="s">
        <v>88</v>
      </c>
      <c r="E879" s="114" t="s">
        <v>25</v>
      </c>
      <c r="F879" s="114">
        <v>90</v>
      </c>
      <c r="G879" s="114">
        <v>100</v>
      </c>
      <c r="H879" s="509">
        <f t="shared" si="72"/>
        <v>100</v>
      </c>
      <c r="I879" s="114"/>
      <c r="J879" s="118"/>
      <c r="K879" s="116"/>
      <c r="L879" s="114"/>
      <c r="M879" s="119"/>
      <c r="N879" s="119"/>
      <c r="O879" s="115"/>
      <c r="P879" s="127"/>
      <c r="Q879" s="113"/>
      <c r="R879" s="114"/>
      <c r="S879" s="579"/>
      <c r="T879" s="211"/>
    </row>
    <row r="880" spans="1:20" s="212" customFormat="1" ht="127.5" customHeight="1" x14ac:dyDescent="0.35">
      <c r="A880" s="576"/>
      <c r="B880" s="600"/>
      <c r="C880" s="114" t="s">
        <v>66</v>
      </c>
      <c r="D880" s="116" t="s">
        <v>130</v>
      </c>
      <c r="E880" s="114" t="s">
        <v>25</v>
      </c>
      <c r="F880" s="114">
        <v>100</v>
      </c>
      <c r="G880" s="114">
        <v>100</v>
      </c>
      <c r="H880" s="509">
        <f t="shared" si="72"/>
        <v>100</v>
      </c>
      <c r="I880" s="114"/>
      <c r="J880" s="118"/>
      <c r="K880" s="116"/>
      <c r="L880" s="114"/>
      <c r="M880" s="119"/>
      <c r="N880" s="119"/>
      <c r="O880" s="115"/>
      <c r="P880" s="127"/>
      <c r="Q880" s="113"/>
      <c r="R880" s="114"/>
      <c r="S880" s="579"/>
      <c r="T880" s="211"/>
    </row>
    <row r="881" spans="1:20" s="331" customFormat="1" ht="40.5" customHeight="1" x14ac:dyDescent="0.35">
      <c r="A881" s="576"/>
      <c r="B881" s="600"/>
      <c r="C881" s="191"/>
      <c r="D881" s="183" t="s">
        <v>6</v>
      </c>
      <c r="E881" s="191"/>
      <c r="F881" s="184"/>
      <c r="G881" s="184"/>
      <c r="H881" s="187"/>
      <c r="I881" s="187">
        <f>(H876+H877+H878+H879+H880)/5</f>
        <v>100</v>
      </c>
      <c r="J881" s="182"/>
      <c r="K881" s="183" t="s">
        <v>6</v>
      </c>
      <c r="L881" s="184"/>
      <c r="M881" s="188"/>
      <c r="N881" s="188"/>
      <c r="O881" s="187"/>
      <c r="P881" s="187">
        <f>O876</f>
        <v>99.463806970509381</v>
      </c>
      <c r="Q881" s="187">
        <f>(I881+P881)/2</f>
        <v>99.731903485254691</v>
      </c>
      <c r="R881" s="191" t="s">
        <v>361</v>
      </c>
      <c r="S881" s="579"/>
      <c r="T881" s="330"/>
    </row>
    <row r="882" spans="1:20" s="212" customFormat="1" ht="63.75" customHeight="1" x14ac:dyDescent="0.35">
      <c r="A882" s="576"/>
      <c r="B882" s="600"/>
      <c r="C882" s="502" t="s">
        <v>28</v>
      </c>
      <c r="D882" s="146" t="s">
        <v>133</v>
      </c>
      <c r="E882" s="114"/>
      <c r="F882" s="114"/>
      <c r="G882" s="114"/>
      <c r="H882" s="113"/>
      <c r="I882" s="113"/>
      <c r="J882" s="502" t="s">
        <v>28</v>
      </c>
      <c r="K882" s="146" t="str">
        <f>D882</f>
        <v>Реализация основных общеобразовательных программ среднего общего образования</v>
      </c>
      <c r="L882" s="114"/>
      <c r="M882" s="119"/>
      <c r="N882" s="119"/>
      <c r="O882" s="113"/>
      <c r="P882" s="127"/>
      <c r="Q882" s="113"/>
      <c r="R882" s="114"/>
      <c r="S882" s="579"/>
      <c r="T882" s="211"/>
    </row>
    <row r="883" spans="1:20" s="212" customFormat="1" ht="75.75" customHeight="1" x14ac:dyDescent="0.35">
      <c r="A883" s="576"/>
      <c r="B883" s="600"/>
      <c r="C883" s="114" t="s">
        <v>29</v>
      </c>
      <c r="D883" s="116" t="s">
        <v>134</v>
      </c>
      <c r="E883" s="114" t="s">
        <v>25</v>
      </c>
      <c r="F883" s="114">
        <v>100</v>
      </c>
      <c r="G883" s="114">
        <v>100</v>
      </c>
      <c r="H883" s="509">
        <f t="shared" ref="H883:H887" si="73">IF(G883/F883*100&gt;100,100,G883/F883*100)</f>
        <v>100</v>
      </c>
      <c r="I883" s="114"/>
      <c r="J883" s="118" t="s">
        <v>29</v>
      </c>
      <c r="K883" s="116" t="s">
        <v>89</v>
      </c>
      <c r="L883" s="114" t="s">
        <v>38</v>
      </c>
      <c r="M883" s="114">
        <v>72</v>
      </c>
      <c r="N883" s="114">
        <v>69</v>
      </c>
      <c r="O883" s="115">
        <f>IF(N883/M883*100&gt;110,110,N883/M883*100)</f>
        <v>95.833333333333343</v>
      </c>
      <c r="P883" s="114"/>
      <c r="Q883" s="113"/>
      <c r="R883" s="114"/>
      <c r="S883" s="579"/>
      <c r="T883" s="211"/>
    </row>
    <row r="884" spans="1:20" s="212" customFormat="1" x14ac:dyDescent="0.35">
      <c r="A884" s="576"/>
      <c r="B884" s="600"/>
      <c r="C884" s="114" t="s">
        <v>30</v>
      </c>
      <c r="D884" s="116" t="s">
        <v>560</v>
      </c>
      <c r="E884" s="114" t="s">
        <v>25</v>
      </c>
      <c r="F884" s="114">
        <v>100</v>
      </c>
      <c r="G884" s="114">
        <v>100</v>
      </c>
      <c r="H884" s="509">
        <f t="shared" si="73"/>
        <v>100</v>
      </c>
      <c r="I884" s="114"/>
      <c r="J884" s="118"/>
      <c r="K884" s="116"/>
      <c r="L884" s="114"/>
      <c r="M884" s="119"/>
      <c r="N884" s="119"/>
      <c r="O884" s="115"/>
      <c r="P884" s="127"/>
      <c r="Q884" s="113"/>
      <c r="R884" s="114"/>
      <c r="S884" s="579"/>
      <c r="T884" s="211"/>
    </row>
    <row r="885" spans="1:20" s="212" customFormat="1" ht="56.25" customHeight="1" x14ac:dyDescent="0.35">
      <c r="A885" s="576"/>
      <c r="B885" s="600"/>
      <c r="C885" s="114" t="s">
        <v>52</v>
      </c>
      <c r="D885" s="116" t="s">
        <v>468</v>
      </c>
      <c r="E885" s="114" t="s">
        <v>25</v>
      </c>
      <c r="F885" s="114">
        <v>100</v>
      </c>
      <c r="G885" s="114">
        <v>100</v>
      </c>
      <c r="H885" s="509">
        <f t="shared" si="73"/>
        <v>100</v>
      </c>
      <c r="I885" s="114"/>
      <c r="J885" s="118"/>
      <c r="K885" s="116"/>
      <c r="L885" s="114"/>
      <c r="M885" s="119"/>
      <c r="N885" s="119"/>
      <c r="O885" s="115"/>
      <c r="P885" s="127"/>
      <c r="Q885" s="113"/>
      <c r="R885" s="114"/>
      <c r="S885" s="579"/>
      <c r="T885" s="211"/>
    </row>
    <row r="886" spans="1:20" s="212" customFormat="1" ht="75" customHeight="1" x14ac:dyDescent="0.35">
      <c r="A886" s="576"/>
      <c r="B886" s="600"/>
      <c r="C886" s="114" t="s">
        <v>53</v>
      </c>
      <c r="D886" s="116" t="s">
        <v>88</v>
      </c>
      <c r="E886" s="114" t="s">
        <v>25</v>
      </c>
      <c r="F886" s="114">
        <v>90</v>
      </c>
      <c r="G886" s="114">
        <v>100</v>
      </c>
      <c r="H886" s="509">
        <f t="shared" si="73"/>
        <v>100</v>
      </c>
      <c r="I886" s="114"/>
      <c r="J886" s="118"/>
      <c r="K886" s="116"/>
      <c r="L886" s="114"/>
      <c r="M886" s="119"/>
      <c r="N886" s="119"/>
      <c r="O886" s="115"/>
      <c r="P886" s="127"/>
      <c r="Q886" s="113"/>
      <c r="R886" s="114"/>
      <c r="S886" s="579"/>
      <c r="T886" s="211"/>
    </row>
    <row r="887" spans="1:20" s="212" customFormat="1" ht="128.25" customHeight="1" x14ac:dyDescent="0.35">
      <c r="A887" s="576"/>
      <c r="B887" s="600"/>
      <c r="C887" s="114" t="s">
        <v>135</v>
      </c>
      <c r="D887" s="116" t="s">
        <v>130</v>
      </c>
      <c r="E887" s="114" t="s">
        <v>25</v>
      </c>
      <c r="F887" s="114">
        <v>100</v>
      </c>
      <c r="G887" s="114">
        <v>100</v>
      </c>
      <c r="H887" s="509">
        <f t="shared" si="73"/>
        <v>100</v>
      </c>
      <c r="I887" s="114"/>
      <c r="J887" s="118"/>
      <c r="K887" s="116"/>
      <c r="L887" s="114"/>
      <c r="M887" s="119"/>
      <c r="N887" s="119"/>
      <c r="O887" s="115"/>
      <c r="P887" s="127"/>
      <c r="Q887" s="113"/>
      <c r="R887" s="114"/>
      <c r="S887" s="579"/>
      <c r="T887" s="211"/>
    </row>
    <row r="888" spans="1:20" s="331" customFormat="1" ht="40.5" customHeight="1" x14ac:dyDescent="0.35">
      <c r="A888" s="576"/>
      <c r="B888" s="600"/>
      <c r="C888" s="191"/>
      <c r="D888" s="183" t="s">
        <v>6</v>
      </c>
      <c r="E888" s="191"/>
      <c r="F888" s="184"/>
      <c r="G888" s="184"/>
      <c r="H888" s="187"/>
      <c r="I888" s="187">
        <f>(H883+H884+H885+H886+H887)/5</f>
        <v>100</v>
      </c>
      <c r="J888" s="182"/>
      <c r="K888" s="183" t="s">
        <v>6</v>
      </c>
      <c r="L888" s="184"/>
      <c r="M888" s="188"/>
      <c r="N888" s="188"/>
      <c r="O888" s="187"/>
      <c r="P888" s="187">
        <f>O883</f>
        <v>95.833333333333343</v>
      </c>
      <c r="Q888" s="187">
        <f>(I888+P888)/2</f>
        <v>97.916666666666671</v>
      </c>
      <c r="R888" s="191" t="s">
        <v>361</v>
      </c>
      <c r="S888" s="579"/>
      <c r="T888" s="330"/>
    </row>
    <row r="889" spans="1:20" s="212" customFormat="1" ht="52.5" customHeight="1" x14ac:dyDescent="0.35">
      <c r="A889" s="576"/>
      <c r="B889" s="600"/>
      <c r="C889" s="502" t="s">
        <v>42</v>
      </c>
      <c r="D889" s="146" t="s">
        <v>211</v>
      </c>
      <c r="E889" s="114"/>
      <c r="F889" s="114"/>
      <c r="G889" s="114"/>
      <c r="H889" s="113"/>
      <c r="I889" s="113"/>
      <c r="J889" s="502" t="str">
        <f>C889</f>
        <v>IV</v>
      </c>
      <c r="K889" s="146" t="str">
        <f>D889</f>
        <v>Реализация дополнительных общеразвивающих программ</v>
      </c>
      <c r="L889" s="114"/>
      <c r="M889" s="119"/>
      <c r="N889" s="119"/>
      <c r="O889" s="127"/>
      <c r="P889" s="127"/>
      <c r="Q889" s="113"/>
      <c r="R889" s="114"/>
      <c r="S889" s="579"/>
      <c r="T889" s="211"/>
    </row>
    <row r="890" spans="1:20" s="212" customFormat="1" ht="89.25" customHeight="1" x14ac:dyDescent="0.35">
      <c r="A890" s="576"/>
      <c r="B890" s="600"/>
      <c r="C890" s="114" t="s">
        <v>43</v>
      </c>
      <c r="D890" s="116" t="s">
        <v>138</v>
      </c>
      <c r="E890" s="114" t="s">
        <v>25</v>
      </c>
      <c r="F890" s="114">
        <v>90</v>
      </c>
      <c r="G890" s="114">
        <v>90</v>
      </c>
      <c r="H890" s="509">
        <f>IF(G890/F890*100&gt;100,100,G890/F890*100)</f>
        <v>100</v>
      </c>
      <c r="I890" s="114"/>
      <c r="J890" s="118" t="str">
        <f>C890</f>
        <v>4.1.</v>
      </c>
      <c r="K890" s="116" t="s">
        <v>469</v>
      </c>
      <c r="L890" s="114" t="s">
        <v>339</v>
      </c>
      <c r="M890" s="114">
        <v>53040</v>
      </c>
      <c r="N890" s="114">
        <v>49737</v>
      </c>
      <c r="O890" s="115">
        <f>IF(N890/M890*100&gt;110,110,N890/M890*100)</f>
        <v>93.772624434389144</v>
      </c>
      <c r="P890" s="127"/>
      <c r="Q890" s="113"/>
      <c r="R890" s="114"/>
      <c r="S890" s="579"/>
      <c r="T890" s="211"/>
    </row>
    <row r="891" spans="1:20" s="331" customFormat="1" ht="41.25" customHeight="1" x14ac:dyDescent="0.35">
      <c r="A891" s="576"/>
      <c r="B891" s="600"/>
      <c r="C891" s="191"/>
      <c r="D891" s="183" t="s">
        <v>6</v>
      </c>
      <c r="E891" s="191"/>
      <c r="F891" s="184"/>
      <c r="G891" s="184"/>
      <c r="H891" s="187"/>
      <c r="I891" s="187">
        <f>H890</f>
        <v>100</v>
      </c>
      <c r="J891" s="182"/>
      <c r="K891" s="183" t="s">
        <v>6</v>
      </c>
      <c r="L891" s="184"/>
      <c r="M891" s="188"/>
      <c r="N891" s="188"/>
      <c r="O891" s="187"/>
      <c r="P891" s="187">
        <f>O890</f>
        <v>93.772624434389144</v>
      </c>
      <c r="Q891" s="187">
        <f>(I891+P891)/2</f>
        <v>96.886312217194572</v>
      </c>
      <c r="R891" s="191" t="s">
        <v>361</v>
      </c>
      <c r="S891" s="579"/>
      <c r="T891" s="330"/>
    </row>
    <row r="892" spans="1:20" s="212" customFormat="1" ht="57.75" customHeight="1" x14ac:dyDescent="0.35">
      <c r="A892" s="576">
        <v>56</v>
      </c>
      <c r="B892" s="600" t="s">
        <v>156</v>
      </c>
      <c r="C892" s="502" t="s">
        <v>12</v>
      </c>
      <c r="D892" s="146" t="s">
        <v>128</v>
      </c>
      <c r="E892" s="502"/>
      <c r="F892" s="502"/>
      <c r="G892" s="502"/>
      <c r="H892" s="113"/>
      <c r="I892" s="113"/>
      <c r="J892" s="502" t="s">
        <v>12</v>
      </c>
      <c r="K892" s="146" t="s">
        <v>128</v>
      </c>
      <c r="L892" s="114"/>
      <c r="M892" s="114"/>
      <c r="N892" s="114"/>
      <c r="O892" s="113"/>
      <c r="P892" s="127"/>
      <c r="Q892" s="113"/>
      <c r="R892" s="114"/>
      <c r="S892" s="579" t="s">
        <v>280</v>
      </c>
      <c r="T892" s="211"/>
    </row>
    <row r="893" spans="1:20" s="212" customFormat="1" ht="82.5" customHeight="1" x14ac:dyDescent="0.35">
      <c r="A893" s="576"/>
      <c r="B893" s="600"/>
      <c r="C893" s="114" t="s">
        <v>7</v>
      </c>
      <c r="D893" s="116" t="s">
        <v>129</v>
      </c>
      <c r="E893" s="114" t="s">
        <v>25</v>
      </c>
      <c r="F893" s="114">
        <v>100</v>
      </c>
      <c r="G893" s="114">
        <v>100</v>
      </c>
      <c r="H893" s="509">
        <f t="shared" ref="H893:H897" si="74">IF(G893/F893*100&gt;100,100,G893/F893*100)</f>
        <v>100</v>
      </c>
      <c r="I893" s="114"/>
      <c r="J893" s="114" t="s">
        <v>7</v>
      </c>
      <c r="K893" s="116" t="s">
        <v>89</v>
      </c>
      <c r="L893" s="114" t="s">
        <v>38</v>
      </c>
      <c r="M893" s="114">
        <v>357</v>
      </c>
      <c r="N893" s="114">
        <v>340</v>
      </c>
      <c r="O893" s="115">
        <f>IF(N893/M893*100&gt;110,110,N893/M893*100)</f>
        <v>95.238095238095227</v>
      </c>
      <c r="P893" s="127"/>
      <c r="Q893" s="113"/>
      <c r="R893" s="114"/>
      <c r="S893" s="579"/>
      <c r="T893" s="211"/>
    </row>
    <row r="894" spans="1:20" s="212" customFormat="1" x14ac:dyDescent="0.35">
      <c r="A894" s="576"/>
      <c r="B894" s="600"/>
      <c r="C894" s="114" t="s">
        <v>8</v>
      </c>
      <c r="D894" s="116" t="s">
        <v>561</v>
      </c>
      <c r="E894" s="114" t="s">
        <v>25</v>
      </c>
      <c r="F894" s="114">
        <v>100</v>
      </c>
      <c r="G894" s="114">
        <v>100</v>
      </c>
      <c r="H894" s="509">
        <f t="shared" si="74"/>
        <v>100</v>
      </c>
      <c r="I894" s="114"/>
      <c r="J894" s="114"/>
      <c r="K894" s="503"/>
      <c r="L894" s="114"/>
      <c r="M894" s="117"/>
      <c r="N894" s="117"/>
      <c r="O894" s="115"/>
      <c r="P894" s="127"/>
      <c r="Q894" s="113"/>
      <c r="R894" s="114"/>
      <c r="S894" s="579"/>
      <c r="T894" s="211"/>
    </row>
    <row r="895" spans="1:20" s="212" customFormat="1" ht="43.5" customHeight="1" x14ac:dyDescent="0.35">
      <c r="A895" s="576"/>
      <c r="B895" s="600"/>
      <c r="C895" s="114" t="s">
        <v>9</v>
      </c>
      <c r="D895" s="116" t="s">
        <v>468</v>
      </c>
      <c r="E895" s="114" t="s">
        <v>25</v>
      </c>
      <c r="F895" s="114">
        <v>100</v>
      </c>
      <c r="G895" s="114">
        <v>100</v>
      </c>
      <c r="H895" s="509">
        <f t="shared" si="74"/>
        <v>100</v>
      </c>
      <c r="I895" s="114"/>
      <c r="J895" s="118"/>
      <c r="K895" s="116"/>
      <c r="L895" s="114"/>
      <c r="M895" s="119"/>
      <c r="N895" s="119"/>
      <c r="O895" s="115"/>
      <c r="P895" s="127"/>
      <c r="Q895" s="113"/>
      <c r="R895" s="114"/>
      <c r="S895" s="579"/>
      <c r="T895" s="211"/>
    </row>
    <row r="896" spans="1:20" s="212" customFormat="1" ht="78.75" customHeight="1" x14ac:dyDescent="0.35">
      <c r="A896" s="576"/>
      <c r="B896" s="600"/>
      <c r="C896" s="114" t="s">
        <v>10</v>
      </c>
      <c r="D896" s="116" t="s">
        <v>88</v>
      </c>
      <c r="E896" s="114" t="s">
        <v>25</v>
      </c>
      <c r="F896" s="114">
        <v>90</v>
      </c>
      <c r="G896" s="114">
        <v>100</v>
      </c>
      <c r="H896" s="509">
        <f t="shared" si="74"/>
        <v>100</v>
      </c>
      <c r="I896" s="114"/>
      <c r="J896" s="118"/>
      <c r="K896" s="116"/>
      <c r="L896" s="114"/>
      <c r="M896" s="119"/>
      <c r="N896" s="119"/>
      <c r="O896" s="115"/>
      <c r="P896" s="127"/>
      <c r="Q896" s="113"/>
      <c r="R896" s="114"/>
      <c r="S896" s="579"/>
      <c r="T896" s="211"/>
    </row>
    <row r="897" spans="1:20" s="212" customFormat="1" ht="132.75" customHeight="1" x14ac:dyDescent="0.35">
      <c r="A897" s="576"/>
      <c r="B897" s="600"/>
      <c r="C897" s="114" t="s">
        <v>35</v>
      </c>
      <c r="D897" s="116" t="s">
        <v>130</v>
      </c>
      <c r="E897" s="114" t="s">
        <v>25</v>
      </c>
      <c r="F897" s="114">
        <v>100</v>
      </c>
      <c r="G897" s="114">
        <v>100</v>
      </c>
      <c r="H897" s="509">
        <f t="shared" si="74"/>
        <v>100</v>
      </c>
      <c r="I897" s="114"/>
      <c r="J897" s="118"/>
      <c r="K897" s="116"/>
      <c r="L897" s="114"/>
      <c r="M897" s="119"/>
      <c r="N897" s="119"/>
      <c r="O897" s="115"/>
      <c r="P897" s="127"/>
      <c r="Q897" s="113"/>
      <c r="R897" s="114"/>
      <c r="S897" s="579"/>
      <c r="T897" s="211"/>
    </row>
    <row r="898" spans="1:20" s="331" customFormat="1" ht="40.5" customHeight="1" x14ac:dyDescent="0.35">
      <c r="A898" s="576"/>
      <c r="B898" s="600"/>
      <c r="C898" s="191"/>
      <c r="D898" s="183" t="s">
        <v>6</v>
      </c>
      <c r="E898" s="191"/>
      <c r="F898" s="184"/>
      <c r="G898" s="184"/>
      <c r="H898" s="187"/>
      <c r="I898" s="187">
        <f>(H893+H894+H895+H896+H897)/5</f>
        <v>100</v>
      </c>
      <c r="J898" s="182"/>
      <c r="K898" s="183" t="s">
        <v>6</v>
      </c>
      <c r="L898" s="184"/>
      <c r="M898" s="188"/>
      <c r="N898" s="188"/>
      <c r="O898" s="187"/>
      <c r="P898" s="187">
        <f>O893</f>
        <v>95.238095238095227</v>
      </c>
      <c r="Q898" s="187">
        <f>(I898+P898)/2</f>
        <v>97.61904761904762</v>
      </c>
      <c r="R898" s="191" t="s">
        <v>361</v>
      </c>
      <c r="S898" s="579"/>
      <c r="T898" s="330"/>
    </row>
    <row r="899" spans="1:20" s="336" customFormat="1" ht="72" customHeight="1" x14ac:dyDescent="0.35">
      <c r="A899" s="576"/>
      <c r="B899" s="600"/>
      <c r="C899" s="502" t="s">
        <v>13</v>
      </c>
      <c r="D899" s="146" t="s">
        <v>131</v>
      </c>
      <c r="E899" s="114"/>
      <c r="F899" s="114"/>
      <c r="G899" s="114"/>
      <c r="H899" s="113"/>
      <c r="I899" s="113"/>
      <c r="J899" s="502" t="s">
        <v>13</v>
      </c>
      <c r="K899" s="146" t="s">
        <v>131</v>
      </c>
      <c r="L899" s="114"/>
      <c r="M899" s="119"/>
      <c r="N899" s="119"/>
      <c r="O899" s="113"/>
      <c r="P899" s="334"/>
      <c r="Q899" s="113"/>
      <c r="R899" s="114"/>
      <c r="S899" s="579"/>
      <c r="T899" s="335"/>
    </row>
    <row r="900" spans="1:20" s="336" customFormat="1" ht="67.5" customHeight="1" x14ac:dyDescent="0.35">
      <c r="A900" s="576"/>
      <c r="B900" s="600"/>
      <c r="C900" s="114" t="s">
        <v>14</v>
      </c>
      <c r="D900" s="116" t="s">
        <v>132</v>
      </c>
      <c r="E900" s="114" t="s">
        <v>25</v>
      </c>
      <c r="F900" s="114">
        <v>100</v>
      </c>
      <c r="G900" s="114">
        <v>100</v>
      </c>
      <c r="H900" s="509">
        <f t="shared" ref="H900:H904" si="75">IF(G900/F900*100&gt;100,100,G900/F900*100)</f>
        <v>100</v>
      </c>
      <c r="I900" s="114"/>
      <c r="J900" s="118" t="s">
        <v>14</v>
      </c>
      <c r="K900" s="116" t="s">
        <v>89</v>
      </c>
      <c r="L900" s="114" t="s">
        <v>38</v>
      </c>
      <c r="M900" s="114">
        <v>331</v>
      </c>
      <c r="N900" s="114">
        <v>333</v>
      </c>
      <c r="O900" s="115">
        <f>IF(N900/M900*100&gt;110,110,N900/M900*100)</f>
        <v>100.60422960725074</v>
      </c>
      <c r="P900" s="114"/>
      <c r="Q900" s="113"/>
      <c r="R900" s="114"/>
      <c r="S900" s="579"/>
      <c r="T900" s="335"/>
    </row>
    <row r="901" spans="1:20" s="336" customFormat="1" x14ac:dyDescent="0.35">
      <c r="A901" s="576"/>
      <c r="B901" s="600"/>
      <c r="C901" s="114" t="s">
        <v>15</v>
      </c>
      <c r="D901" s="116" t="s">
        <v>559</v>
      </c>
      <c r="E901" s="114" t="s">
        <v>25</v>
      </c>
      <c r="F901" s="114">
        <v>100</v>
      </c>
      <c r="G901" s="114">
        <v>100</v>
      </c>
      <c r="H901" s="509">
        <f t="shared" si="75"/>
        <v>100</v>
      </c>
      <c r="I901" s="114"/>
      <c r="J901" s="118"/>
      <c r="K901" s="116"/>
      <c r="L901" s="114"/>
      <c r="M901" s="119"/>
      <c r="N901" s="119"/>
      <c r="O901" s="115"/>
      <c r="P901" s="334"/>
      <c r="Q901" s="113"/>
      <c r="R901" s="114"/>
      <c r="S901" s="579"/>
      <c r="T901" s="335"/>
    </row>
    <row r="902" spans="1:20" s="336" customFormat="1" ht="43.5" customHeight="1" x14ac:dyDescent="0.35">
      <c r="A902" s="576"/>
      <c r="B902" s="600"/>
      <c r="C902" s="114" t="s">
        <v>39</v>
      </c>
      <c r="D902" s="116" t="s">
        <v>468</v>
      </c>
      <c r="E902" s="114" t="s">
        <v>25</v>
      </c>
      <c r="F902" s="114">
        <v>100</v>
      </c>
      <c r="G902" s="114">
        <v>100</v>
      </c>
      <c r="H902" s="509">
        <f t="shared" si="75"/>
        <v>100</v>
      </c>
      <c r="I902" s="114"/>
      <c r="J902" s="118"/>
      <c r="K902" s="116"/>
      <c r="L902" s="114"/>
      <c r="M902" s="119"/>
      <c r="N902" s="119"/>
      <c r="O902" s="115"/>
      <c r="P902" s="334"/>
      <c r="Q902" s="113"/>
      <c r="R902" s="114"/>
      <c r="S902" s="579"/>
      <c r="T902" s="335"/>
    </row>
    <row r="903" spans="1:20" s="336" customFormat="1" ht="61.5" customHeight="1" x14ac:dyDescent="0.35">
      <c r="A903" s="576"/>
      <c r="B903" s="600"/>
      <c r="C903" s="114" t="s">
        <v>45</v>
      </c>
      <c r="D903" s="116" t="s">
        <v>88</v>
      </c>
      <c r="E903" s="114" t="s">
        <v>25</v>
      </c>
      <c r="F903" s="114">
        <v>90</v>
      </c>
      <c r="G903" s="114">
        <v>100</v>
      </c>
      <c r="H903" s="509">
        <f t="shared" si="75"/>
        <v>100</v>
      </c>
      <c r="I903" s="114"/>
      <c r="J903" s="118"/>
      <c r="K903" s="116"/>
      <c r="L903" s="114"/>
      <c r="M903" s="119"/>
      <c r="N903" s="119"/>
      <c r="O903" s="115"/>
      <c r="P903" s="334"/>
      <c r="Q903" s="113"/>
      <c r="R903" s="114"/>
      <c r="S903" s="579"/>
      <c r="T903" s="335"/>
    </row>
    <row r="904" spans="1:20" s="336" customFormat="1" ht="114.75" customHeight="1" x14ac:dyDescent="0.35">
      <c r="A904" s="576"/>
      <c r="B904" s="600"/>
      <c r="C904" s="114" t="s">
        <v>66</v>
      </c>
      <c r="D904" s="116" t="s">
        <v>130</v>
      </c>
      <c r="E904" s="114" t="s">
        <v>25</v>
      </c>
      <c r="F904" s="114">
        <v>100</v>
      </c>
      <c r="G904" s="114">
        <v>100</v>
      </c>
      <c r="H904" s="509">
        <f t="shared" si="75"/>
        <v>100</v>
      </c>
      <c r="I904" s="114"/>
      <c r="J904" s="118"/>
      <c r="K904" s="116"/>
      <c r="L904" s="114"/>
      <c r="M904" s="119"/>
      <c r="N904" s="119"/>
      <c r="O904" s="115"/>
      <c r="P904" s="334"/>
      <c r="Q904" s="113"/>
      <c r="R904" s="114"/>
      <c r="S904" s="579"/>
      <c r="T904" s="335"/>
    </row>
    <row r="905" spans="1:20" s="331" customFormat="1" ht="40.5" customHeight="1" x14ac:dyDescent="0.35">
      <c r="A905" s="576"/>
      <c r="B905" s="600"/>
      <c r="C905" s="191"/>
      <c r="D905" s="183" t="s">
        <v>6</v>
      </c>
      <c r="E905" s="191"/>
      <c r="F905" s="184"/>
      <c r="G905" s="184"/>
      <c r="H905" s="187"/>
      <c r="I905" s="187">
        <f>(H900+H901+H902+H903+H904)/5</f>
        <v>100</v>
      </c>
      <c r="J905" s="182"/>
      <c r="K905" s="183" t="s">
        <v>6</v>
      </c>
      <c r="L905" s="184"/>
      <c r="M905" s="188"/>
      <c r="N905" s="188"/>
      <c r="O905" s="187"/>
      <c r="P905" s="187">
        <f>O900</f>
        <v>100.60422960725074</v>
      </c>
      <c r="Q905" s="187">
        <f>(I905+P905)/2</f>
        <v>100.30211480362537</v>
      </c>
      <c r="R905" s="191" t="s">
        <v>31</v>
      </c>
      <c r="S905" s="579"/>
      <c r="T905" s="330"/>
    </row>
    <row r="906" spans="1:20" s="212" customFormat="1" ht="75" customHeight="1" x14ac:dyDescent="0.35">
      <c r="A906" s="576"/>
      <c r="B906" s="600"/>
      <c r="C906" s="502" t="s">
        <v>28</v>
      </c>
      <c r="D906" s="146" t="s">
        <v>133</v>
      </c>
      <c r="E906" s="114"/>
      <c r="F906" s="114"/>
      <c r="G906" s="114"/>
      <c r="H906" s="113"/>
      <c r="I906" s="113"/>
      <c r="J906" s="502" t="s">
        <v>28</v>
      </c>
      <c r="K906" s="146" t="str">
        <f>D906</f>
        <v>Реализация основных общеобразовательных программ среднего общего образования</v>
      </c>
      <c r="L906" s="114"/>
      <c r="M906" s="119"/>
      <c r="N906" s="119"/>
      <c r="O906" s="113"/>
      <c r="P906" s="127"/>
      <c r="Q906" s="113"/>
      <c r="R906" s="114"/>
      <c r="S906" s="579"/>
      <c r="T906" s="211"/>
    </row>
    <row r="907" spans="1:20" s="212" customFormat="1" ht="75.75" customHeight="1" x14ac:dyDescent="0.35">
      <c r="A907" s="576"/>
      <c r="B907" s="600"/>
      <c r="C907" s="114" t="s">
        <v>29</v>
      </c>
      <c r="D907" s="116" t="s">
        <v>134</v>
      </c>
      <c r="E907" s="114" t="s">
        <v>25</v>
      </c>
      <c r="F907" s="114">
        <v>100</v>
      </c>
      <c r="G907" s="114">
        <v>100</v>
      </c>
      <c r="H907" s="509">
        <f t="shared" ref="H907:H911" si="76">IF(G907/F907*100&gt;100,100,G907/F907*100)</f>
        <v>100</v>
      </c>
      <c r="I907" s="114"/>
      <c r="J907" s="118" t="s">
        <v>29</v>
      </c>
      <c r="K907" s="116" t="s">
        <v>89</v>
      </c>
      <c r="L907" s="114" t="s">
        <v>38</v>
      </c>
      <c r="M907" s="114">
        <v>47</v>
      </c>
      <c r="N907" s="114">
        <v>49</v>
      </c>
      <c r="O907" s="115">
        <f>IF(N907/M907*100&gt;110,110,N907/M907*100)</f>
        <v>104.25531914893618</v>
      </c>
      <c r="P907" s="114"/>
      <c r="Q907" s="113"/>
      <c r="R907" s="114"/>
      <c r="S907" s="579"/>
      <c r="T907" s="211"/>
    </row>
    <row r="908" spans="1:20" s="212" customFormat="1" x14ac:dyDescent="0.35">
      <c r="A908" s="576"/>
      <c r="B908" s="600"/>
      <c r="C908" s="114" t="s">
        <v>30</v>
      </c>
      <c r="D908" s="116" t="s">
        <v>560</v>
      </c>
      <c r="E908" s="114" t="s">
        <v>25</v>
      </c>
      <c r="F908" s="114">
        <v>100</v>
      </c>
      <c r="G908" s="114">
        <v>100</v>
      </c>
      <c r="H908" s="509">
        <f t="shared" si="76"/>
        <v>100</v>
      </c>
      <c r="I908" s="114"/>
      <c r="J908" s="118"/>
      <c r="K908" s="116"/>
      <c r="L908" s="114"/>
      <c r="M908" s="119"/>
      <c r="N908" s="119"/>
      <c r="O908" s="115"/>
      <c r="P908" s="127"/>
      <c r="Q908" s="113"/>
      <c r="R908" s="114"/>
      <c r="S908" s="579"/>
      <c r="T908" s="211"/>
    </row>
    <row r="909" spans="1:20" s="212" customFormat="1" ht="40.5" customHeight="1" x14ac:dyDescent="0.35">
      <c r="A909" s="576"/>
      <c r="B909" s="600"/>
      <c r="C909" s="114" t="s">
        <v>52</v>
      </c>
      <c r="D909" s="116" t="s">
        <v>468</v>
      </c>
      <c r="E909" s="114" t="s">
        <v>25</v>
      </c>
      <c r="F909" s="114">
        <v>100</v>
      </c>
      <c r="G909" s="114">
        <v>100</v>
      </c>
      <c r="H909" s="509">
        <f t="shared" si="76"/>
        <v>100</v>
      </c>
      <c r="I909" s="114"/>
      <c r="J909" s="118"/>
      <c r="K909" s="116"/>
      <c r="L909" s="114"/>
      <c r="M909" s="119"/>
      <c r="N909" s="119"/>
      <c r="O909" s="115"/>
      <c r="P909" s="127"/>
      <c r="Q909" s="113"/>
      <c r="R909" s="114"/>
      <c r="S909" s="579"/>
      <c r="T909" s="211"/>
    </row>
    <row r="910" spans="1:20" s="212" customFormat="1" ht="75.75" customHeight="1" x14ac:dyDescent="0.35">
      <c r="A910" s="576"/>
      <c r="B910" s="600"/>
      <c r="C910" s="114" t="s">
        <v>53</v>
      </c>
      <c r="D910" s="116" t="s">
        <v>88</v>
      </c>
      <c r="E910" s="114" t="s">
        <v>25</v>
      </c>
      <c r="F910" s="114">
        <v>90</v>
      </c>
      <c r="G910" s="114">
        <v>100</v>
      </c>
      <c r="H910" s="509">
        <f t="shared" si="76"/>
        <v>100</v>
      </c>
      <c r="I910" s="114"/>
      <c r="J910" s="118"/>
      <c r="K910" s="116"/>
      <c r="L910" s="114"/>
      <c r="M910" s="119"/>
      <c r="N910" s="119"/>
      <c r="O910" s="115"/>
      <c r="P910" s="127"/>
      <c r="Q910" s="113"/>
      <c r="R910" s="114"/>
      <c r="S910" s="579"/>
      <c r="T910" s="211"/>
    </row>
    <row r="911" spans="1:20" s="212" customFormat="1" ht="125.25" customHeight="1" x14ac:dyDescent="0.35">
      <c r="A911" s="576"/>
      <c r="B911" s="600"/>
      <c r="C911" s="114" t="s">
        <v>135</v>
      </c>
      <c r="D911" s="116" t="s">
        <v>130</v>
      </c>
      <c r="E911" s="114" t="s">
        <v>25</v>
      </c>
      <c r="F911" s="114">
        <v>100</v>
      </c>
      <c r="G911" s="114">
        <v>100</v>
      </c>
      <c r="H911" s="509">
        <f t="shared" si="76"/>
        <v>100</v>
      </c>
      <c r="I911" s="114"/>
      <c r="J911" s="118"/>
      <c r="K911" s="116"/>
      <c r="L911" s="114"/>
      <c r="M911" s="119"/>
      <c r="N911" s="119"/>
      <c r="O911" s="115"/>
      <c r="P911" s="127"/>
      <c r="Q911" s="113"/>
      <c r="R911" s="114"/>
      <c r="S911" s="579"/>
      <c r="T911" s="211"/>
    </row>
    <row r="912" spans="1:20" s="331" customFormat="1" ht="40.5" customHeight="1" x14ac:dyDescent="0.35">
      <c r="A912" s="576"/>
      <c r="B912" s="600"/>
      <c r="C912" s="191"/>
      <c r="D912" s="183" t="s">
        <v>6</v>
      </c>
      <c r="E912" s="191"/>
      <c r="F912" s="184"/>
      <c r="G912" s="184"/>
      <c r="H912" s="187"/>
      <c r="I912" s="187">
        <f>(H907+H908+H909+H910+H911)/5</f>
        <v>100</v>
      </c>
      <c r="J912" s="182"/>
      <c r="K912" s="183" t="s">
        <v>6</v>
      </c>
      <c r="L912" s="184"/>
      <c r="M912" s="188"/>
      <c r="N912" s="188"/>
      <c r="O912" s="187"/>
      <c r="P912" s="187">
        <f>O907</f>
        <v>104.25531914893618</v>
      </c>
      <c r="Q912" s="187">
        <f>(I912+P912)/2</f>
        <v>102.12765957446808</v>
      </c>
      <c r="R912" s="191" t="s">
        <v>31</v>
      </c>
      <c r="S912" s="579"/>
      <c r="T912" s="330"/>
    </row>
    <row r="913" spans="1:20" s="212" customFormat="1" x14ac:dyDescent="0.35">
      <c r="A913" s="576"/>
      <c r="B913" s="600"/>
      <c r="C913" s="502" t="s">
        <v>42</v>
      </c>
      <c r="D913" s="146" t="s">
        <v>90</v>
      </c>
      <c r="E913" s="114"/>
      <c r="F913" s="114"/>
      <c r="G913" s="114"/>
      <c r="H913" s="113"/>
      <c r="I913" s="113"/>
      <c r="J913" s="502" t="s">
        <v>42</v>
      </c>
      <c r="K913" s="146" t="s">
        <v>90</v>
      </c>
      <c r="L913" s="114"/>
      <c r="M913" s="119"/>
      <c r="N913" s="119"/>
      <c r="O913" s="113"/>
      <c r="P913" s="127"/>
      <c r="Q913" s="113"/>
      <c r="R913" s="114"/>
      <c r="S913" s="579"/>
      <c r="T913" s="211"/>
    </row>
    <row r="914" spans="1:20" s="212" customFormat="1" ht="54.75" customHeight="1" x14ac:dyDescent="0.35">
      <c r="A914" s="576"/>
      <c r="B914" s="600"/>
      <c r="C914" s="114" t="s">
        <v>43</v>
      </c>
      <c r="D914" s="116" t="s">
        <v>136</v>
      </c>
      <c r="E914" s="114" t="s">
        <v>25</v>
      </c>
      <c r="F914" s="114">
        <v>100</v>
      </c>
      <c r="G914" s="114">
        <v>100</v>
      </c>
      <c r="H914" s="509">
        <f t="shared" ref="H914:H915" si="77">IF(G914/F914*100&gt;100,100,G914/F914*100)</f>
        <v>100</v>
      </c>
      <c r="I914" s="114"/>
      <c r="J914" s="118" t="s">
        <v>43</v>
      </c>
      <c r="K914" s="116" t="s">
        <v>89</v>
      </c>
      <c r="L914" s="114" t="s">
        <v>38</v>
      </c>
      <c r="M914" s="114">
        <v>135</v>
      </c>
      <c r="N914" s="114">
        <v>135</v>
      </c>
      <c r="O914" s="115">
        <f>IF(N914/M914*100&gt;110,110,N914/M914*100)</f>
        <v>100</v>
      </c>
      <c r="P914" s="127"/>
      <c r="Q914" s="113"/>
      <c r="R914" s="114"/>
      <c r="S914" s="579"/>
      <c r="T914" s="211"/>
    </row>
    <row r="915" spans="1:20" s="212" customFormat="1" ht="84" customHeight="1" x14ac:dyDescent="0.35">
      <c r="A915" s="576"/>
      <c r="B915" s="600"/>
      <c r="C915" s="114" t="s">
        <v>137</v>
      </c>
      <c r="D915" s="116" t="s">
        <v>138</v>
      </c>
      <c r="E915" s="114" t="s">
        <v>25</v>
      </c>
      <c r="F915" s="114">
        <v>90</v>
      </c>
      <c r="G915" s="114">
        <v>90</v>
      </c>
      <c r="H915" s="509">
        <f t="shared" si="77"/>
        <v>100</v>
      </c>
      <c r="I915" s="114"/>
      <c r="J915" s="118"/>
      <c r="K915" s="116"/>
      <c r="L915" s="114"/>
      <c r="M915" s="119"/>
      <c r="N915" s="119"/>
      <c r="O915" s="115"/>
      <c r="P915" s="127"/>
      <c r="Q915" s="113"/>
      <c r="R915" s="114"/>
      <c r="S915" s="579"/>
      <c r="T915" s="211"/>
    </row>
    <row r="916" spans="1:20" s="331" customFormat="1" ht="40.5" customHeight="1" x14ac:dyDescent="0.35">
      <c r="A916" s="576"/>
      <c r="B916" s="600"/>
      <c r="C916" s="191"/>
      <c r="D916" s="183" t="s">
        <v>6</v>
      </c>
      <c r="E916" s="191"/>
      <c r="F916" s="184"/>
      <c r="G916" s="184"/>
      <c r="H916" s="187"/>
      <c r="I916" s="187">
        <f>(H914+H915)/2</f>
        <v>100</v>
      </c>
      <c r="J916" s="182"/>
      <c r="K916" s="183" t="s">
        <v>6</v>
      </c>
      <c r="L916" s="184"/>
      <c r="M916" s="188"/>
      <c r="N916" s="188"/>
      <c r="O916" s="187"/>
      <c r="P916" s="187">
        <f>O914</f>
        <v>100</v>
      </c>
      <c r="Q916" s="187">
        <f>(I916+P916)/2</f>
        <v>100</v>
      </c>
      <c r="R916" s="191" t="s">
        <v>31</v>
      </c>
      <c r="S916" s="579"/>
      <c r="T916" s="330"/>
    </row>
    <row r="917" spans="1:20" s="212" customFormat="1" ht="63" customHeight="1" x14ac:dyDescent="0.35">
      <c r="A917" s="576"/>
      <c r="B917" s="600"/>
      <c r="C917" s="502" t="s">
        <v>164</v>
      </c>
      <c r="D917" s="146" t="s">
        <v>211</v>
      </c>
      <c r="E917" s="114"/>
      <c r="F917" s="114"/>
      <c r="G917" s="114"/>
      <c r="H917" s="113"/>
      <c r="I917" s="113"/>
      <c r="J917" s="502" t="s">
        <v>164</v>
      </c>
      <c r="K917" s="146" t="str">
        <f>D917</f>
        <v>Реализация дополнительных общеразвивающих программ</v>
      </c>
      <c r="L917" s="114"/>
      <c r="M917" s="119"/>
      <c r="N917" s="119"/>
      <c r="O917" s="113"/>
      <c r="P917" s="127"/>
      <c r="Q917" s="113"/>
      <c r="R917" s="114"/>
      <c r="S917" s="579"/>
      <c r="T917" s="211"/>
    </row>
    <row r="918" spans="1:20" s="212" customFormat="1" ht="87.75" customHeight="1" x14ac:dyDescent="0.35">
      <c r="A918" s="576"/>
      <c r="B918" s="600"/>
      <c r="C918" s="114" t="s">
        <v>165</v>
      </c>
      <c r="D918" s="116" t="s">
        <v>138</v>
      </c>
      <c r="E918" s="114" t="s">
        <v>25</v>
      </c>
      <c r="F918" s="114">
        <v>90</v>
      </c>
      <c r="G918" s="114">
        <v>90</v>
      </c>
      <c r="H918" s="509">
        <f>IF(G918/F918*100&gt;100,100,G918/F918*100)</f>
        <v>100</v>
      </c>
      <c r="I918" s="114"/>
      <c r="J918" s="118" t="s">
        <v>165</v>
      </c>
      <c r="K918" s="116" t="s">
        <v>469</v>
      </c>
      <c r="L918" s="114" t="s">
        <v>339</v>
      </c>
      <c r="M918" s="114">
        <v>51408</v>
      </c>
      <c r="N918" s="114">
        <v>46341</v>
      </c>
      <c r="O918" s="115">
        <f>IF(N918/M918*100&gt;110,110,N918/M918*100)</f>
        <v>90.143557422969195</v>
      </c>
      <c r="P918" s="127"/>
      <c r="Q918" s="113"/>
      <c r="R918" s="114"/>
      <c r="S918" s="579"/>
      <c r="T918" s="211"/>
    </row>
    <row r="919" spans="1:20" s="331" customFormat="1" ht="41.25" customHeight="1" x14ac:dyDescent="0.35">
      <c r="A919" s="576"/>
      <c r="B919" s="600"/>
      <c r="C919" s="191"/>
      <c r="D919" s="183" t="s">
        <v>6</v>
      </c>
      <c r="E919" s="191"/>
      <c r="F919" s="184"/>
      <c r="G919" s="184"/>
      <c r="H919" s="187"/>
      <c r="I919" s="187">
        <f>H918</f>
        <v>100</v>
      </c>
      <c r="J919" s="182"/>
      <c r="K919" s="183" t="s">
        <v>6</v>
      </c>
      <c r="L919" s="184"/>
      <c r="M919" s="188"/>
      <c r="N919" s="188"/>
      <c r="O919" s="187"/>
      <c r="P919" s="187">
        <f>O918</f>
        <v>90.143557422969195</v>
      </c>
      <c r="Q919" s="187">
        <f>(I919+P919)/2</f>
        <v>95.071778711484598</v>
      </c>
      <c r="R919" s="191" t="s">
        <v>361</v>
      </c>
      <c r="S919" s="579"/>
      <c r="T919" s="330"/>
    </row>
    <row r="920" spans="1:20" s="212" customFormat="1" ht="65.25" customHeight="1" x14ac:dyDescent="0.35">
      <c r="A920" s="576">
        <v>57</v>
      </c>
      <c r="B920" s="600" t="s">
        <v>157</v>
      </c>
      <c r="C920" s="502" t="s">
        <v>12</v>
      </c>
      <c r="D920" s="146" t="s">
        <v>128</v>
      </c>
      <c r="E920" s="502"/>
      <c r="F920" s="502"/>
      <c r="G920" s="502"/>
      <c r="H920" s="113"/>
      <c r="I920" s="113"/>
      <c r="J920" s="502" t="s">
        <v>12</v>
      </c>
      <c r="K920" s="146" t="s">
        <v>128</v>
      </c>
      <c r="L920" s="114"/>
      <c r="M920" s="114"/>
      <c r="N920" s="114"/>
      <c r="O920" s="113"/>
      <c r="P920" s="127"/>
      <c r="Q920" s="113"/>
      <c r="R920" s="114"/>
      <c r="S920" s="579" t="s">
        <v>280</v>
      </c>
      <c r="T920" s="211"/>
    </row>
    <row r="921" spans="1:20" s="212" customFormat="1" ht="65.25" customHeight="1" x14ac:dyDescent="0.35">
      <c r="A921" s="576"/>
      <c r="B921" s="600"/>
      <c r="C921" s="114" t="s">
        <v>7</v>
      </c>
      <c r="D921" s="116" t="s">
        <v>129</v>
      </c>
      <c r="E921" s="114" t="s">
        <v>25</v>
      </c>
      <c r="F921" s="114">
        <v>100</v>
      </c>
      <c r="G921" s="114">
        <v>100</v>
      </c>
      <c r="H921" s="509">
        <f t="shared" ref="H921:H925" si="78">IF(G921/F921*100&gt;100,100,G921/F921*100)</f>
        <v>100</v>
      </c>
      <c r="I921" s="114"/>
      <c r="J921" s="114" t="s">
        <v>7</v>
      </c>
      <c r="K921" s="116" t="s">
        <v>89</v>
      </c>
      <c r="L921" s="114" t="s">
        <v>38</v>
      </c>
      <c r="M921" s="114">
        <v>251</v>
      </c>
      <c r="N921" s="114">
        <v>253</v>
      </c>
      <c r="O921" s="115">
        <f>IF(N921/M921*100&gt;110,110,N921/M921*100)</f>
        <v>100.79681274900398</v>
      </c>
      <c r="P921" s="127"/>
      <c r="Q921" s="113"/>
      <c r="R921" s="114"/>
      <c r="S921" s="579"/>
      <c r="T921" s="211"/>
    </row>
    <row r="922" spans="1:20" s="212" customFormat="1" ht="65.25" customHeight="1" x14ac:dyDescent="0.35">
      <c r="A922" s="576"/>
      <c r="B922" s="600"/>
      <c r="C922" s="114" t="s">
        <v>8</v>
      </c>
      <c r="D922" s="116" t="s">
        <v>561</v>
      </c>
      <c r="E922" s="114" t="s">
        <v>25</v>
      </c>
      <c r="F922" s="114">
        <v>100</v>
      </c>
      <c r="G922" s="114">
        <v>100</v>
      </c>
      <c r="H922" s="509">
        <f t="shared" si="78"/>
        <v>100</v>
      </c>
      <c r="I922" s="114"/>
      <c r="J922" s="114"/>
      <c r="K922" s="503"/>
      <c r="L922" s="114"/>
      <c r="M922" s="117"/>
      <c r="N922" s="117"/>
      <c r="O922" s="115"/>
      <c r="P922" s="127"/>
      <c r="Q922" s="113"/>
      <c r="R922" s="114"/>
      <c r="S922" s="579"/>
      <c r="T922" s="211"/>
    </row>
    <row r="923" spans="1:20" s="212" customFormat="1" ht="65.25" customHeight="1" x14ac:dyDescent="0.35">
      <c r="A923" s="576"/>
      <c r="B923" s="600"/>
      <c r="C923" s="114" t="s">
        <v>9</v>
      </c>
      <c r="D923" s="116" t="s">
        <v>468</v>
      </c>
      <c r="E923" s="114" t="s">
        <v>25</v>
      </c>
      <c r="F923" s="114">
        <v>100</v>
      </c>
      <c r="G923" s="114">
        <v>100</v>
      </c>
      <c r="H923" s="509">
        <f t="shared" si="78"/>
        <v>100</v>
      </c>
      <c r="I923" s="114"/>
      <c r="J923" s="118"/>
      <c r="K923" s="116"/>
      <c r="L923" s="114"/>
      <c r="M923" s="119"/>
      <c r="N923" s="119"/>
      <c r="O923" s="115"/>
      <c r="P923" s="127"/>
      <c r="Q923" s="113"/>
      <c r="R923" s="114"/>
      <c r="S923" s="579"/>
      <c r="T923" s="211"/>
    </row>
    <row r="924" spans="1:20" s="212" customFormat="1" ht="65.25" customHeight="1" x14ac:dyDescent="0.35">
      <c r="A924" s="576"/>
      <c r="B924" s="600"/>
      <c r="C924" s="114" t="s">
        <v>10</v>
      </c>
      <c r="D924" s="116" t="s">
        <v>88</v>
      </c>
      <c r="E924" s="114" t="s">
        <v>25</v>
      </c>
      <c r="F924" s="114">
        <v>90</v>
      </c>
      <c r="G924" s="114">
        <v>90</v>
      </c>
      <c r="H924" s="509">
        <f t="shared" si="78"/>
        <v>100</v>
      </c>
      <c r="I924" s="114"/>
      <c r="J924" s="118"/>
      <c r="K924" s="116"/>
      <c r="L924" s="114"/>
      <c r="M924" s="119"/>
      <c r="N924" s="119"/>
      <c r="O924" s="115"/>
      <c r="P924" s="127"/>
      <c r="Q924" s="113"/>
      <c r="R924" s="114"/>
      <c r="S924" s="579"/>
      <c r="T924" s="211"/>
    </row>
    <row r="925" spans="1:20" s="212" customFormat="1" ht="113.25" customHeight="1" x14ac:dyDescent="0.35">
      <c r="A925" s="576"/>
      <c r="B925" s="600"/>
      <c r="C925" s="114" t="s">
        <v>35</v>
      </c>
      <c r="D925" s="116" t="s">
        <v>130</v>
      </c>
      <c r="E925" s="114" t="s">
        <v>25</v>
      </c>
      <c r="F925" s="114">
        <v>100</v>
      </c>
      <c r="G925" s="114">
        <v>100</v>
      </c>
      <c r="H925" s="509">
        <f t="shared" si="78"/>
        <v>100</v>
      </c>
      <c r="I925" s="114"/>
      <c r="J925" s="118"/>
      <c r="K925" s="116"/>
      <c r="L925" s="114"/>
      <c r="M925" s="119"/>
      <c r="N925" s="119"/>
      <c r="O925" s="115"/>
      <c r="P925" s="127"/>
      <c r="Q925" s="113"/>
      <c r="R925" s="114"/>
      <c r="S925" s="579"/>
      <c r="T925" s="211"/>
    </row>
    <row r="926" spans="1:20" s="331" customFormat="1" ht="40.5" customHeight="1" x14ac:dyDescent="0.35">
      <c r="A926" s="576"/>
      <c r="B926" s="600"/>
      <c r="C926" s="191"/>
      <c r="D926" s="183" t="s">
        <v>6</v>
      </c>
      <c r="E926" s="191"/>
      <c r="F926" s="184"/>
      <c r="G926" s="184"/>
      <c r="H926" s="187"/>
      <c r="I926" s="187">
        <f>(H921+H922+H923+H924+H925)/5</f>
        <v>100</v>
      </c>
      <c r="J926" s="182"/>
      <c r="K926" s="183" t="s">
        <v>6</v>
      </c>
      <c r="L926" s="184"/>
      <c r="M926" s="188"/>
      <c r="N926" s="188"/>
      <c r="O926" s="187"/>
      <c r="P926" s="187">
        <f>O921</f>
        <v>100.79681274900398</v>
      </c>
      <c r="Q926" s="187">
        <f>(I926+P926)/2</f>
        <v>100.39840637450199</v>
      </c>
      <c r="R926" s="191" t="s">
        <v>31</v>
      </c>
      <c r="S926" s="579"/>
      <c r="T926" s="330"/>
    </row>
    <row r="927" spans="1:20" s="212" customFormat="1" ht="72.75" customHeight="1" x14ac:dyDescent="0.35">
      <c r="A927" s="576"/>
      <c r="B927" s="600"/>
      <c r="C927" s="502" t="s">
        <v>13</v>
      </c>
      <c r="D927" s="146" t="s">
        <v>131</v>
      </c>
      <c r="E927" s="114"/>
      <c r="F927" s="114"/>
      <c r="G927" s="114"/>
      <c r="H927" s="113"/>
      <c r="I927" s="113"/>
      <c r="J927" s="502" t="s">
        <v>13</v>
      </c>
      <c r="K927" s="146" t="s">
        <v>131</v>
      </c>
      <c r="L927" s="114"/>
      <c r="M927" s="119"/>
      <c r="N927" s="119"/>
      <c r="O927" s="113"/>
      <c r="P927" s="127"/>
      <c r="Q927" s="113"/>
      <c r="R927" s="114"/>
      <c r="S927" s="579"/>
      <c r="T927" s="211"/>
    </row>
    <row r="928" spans="1:20" s="212" customFormat="1" ht="69.75" customHeight="1" x14ac:dyDescent="0.35">
      <c r="A928" s="576"/>
      <c r="B928" s="600"/>
      <c r="C928" s="114" t="s">
        <v>14</v>
      </c>
      <c r="D928" s="116" t="s">
        <v>132</v>
      </c>
      <c r="E928" s="114" t="s">
        <v>25</v>
      </c>
      <c r="F928" s="114">
        <v>100</v>
      </c>
      <c r="G928" s="114">
        <v>100</v>
      </c>
      <c r="H928" s="509">
        <f t="shared" ref="H928:H932" si="79">IF(G928/F928*100&gt;100,100,G928/F928*100)</f>
        <v>100</v>
      </c>
      <c r="I928" s="114"/>
      <c r="J928" s="118" t="s">
        <v>14</v>
      </c>
      <c r="K928" s="116" t="s">
        <v>89</v>
      </c>
      <c r="L928" s="114" t="s">
        <v>38</v>
      </c>
      <c r="M928" s="114">
        <v>300</v>
      </c>
      <c r="N928" s="114">
        <v>296</v>
      </c>
      <c r="O928" s="115">
        <f>IF(N928/M928*100&gt;110,110,N928/M928*100)</f>
        <v>98.666666666666671</v>
      </c>
      <c r="P928" s="114"/>
      <c r="Q928" s="113"/>
      <c r="R928" s="114"/>
      <c r="S928" s="579"/>
      <c r="T928" s="211"/>
    </row>
    <row r="929" spans="1:20" s="212" customFormat="1" x14ac:dyDescent="0.35">
      <c r="A929" s="576"/>
      <c r="B929" s="600"/>
      <c r="C929" s="114" t="s">
        <v>15</v>
      </c>
      <c r="D929" s="116" t="s">
        <v>559</v>
      </c>
      <c r="E929" s="114" t="s">
        <v>25</v>
      </c>
      <c r="F929" s="114">
        <v>100</v>
      </c>
      <c r="G929" s="114">
        <v>100</v>
      </c>
      <c r="H929" s="509">
        <f t="shared" si="79"/>
        <v>100</v>
      </c>
      <c r="I929" s="114"/>
      <c r="J929" s="118"/>
      <c r="K929" s="116"/>
      <c r="L929" s="114"/>
      <c r="M929" s="119"/>
      <c r="N929" s="119"/>
      <c r="O929" s="115"/>
      <c r="P929" s="127"/>
      <c r="Q929" s="113"/>
      <c r="R929" s="114"/>
      <c r="S929" s="579"/>
      <c r="T929" s="211"/>
    </row>
    <row r="930" spans="1:20" s="212" customFormat="1" ht="60" customHeight="1" x14ac:dyDescent="0.35">
      <c r="A930" s="576"/>
      <c r="B930" s="600"/>
      <c r="C930" s="114" t="s">
        <v>39</v>
      </c>
      <c r="D930" s="116" t="s">
        <v>468</v>
      </c>
      <c r="E930" s="114" t="s">
        <v>25</v>
      </c>
      <c r="F930" s="114">
        <v>100</v>
      </c>
      <c r="G930" s="114">
        <v>100</v>
      </c>
      <c r="H930" s="509">
        <f t="shared" si="79"/>
        <v>100</v>
      </c>
      <c r="I930" s="114"/>
      <c r="J930" s="118"/>
      <c r="K930" s="116"/>
      <c r="L930" s="114"/>
      <c r="M930" s="119"/>
      <c r="N930" s="119"/>
      <c r="O930" s="115"/>
      <c r="P930" s="127"/>
      <c r="Q930" s="113"/>
      <c r="R930" s="114"/>
      <c r="S930" s="579"/>
      <c r="T930" s="211"/>
    </row>
    <row r="931" spans="1:20" s="212" customFormat="1" ht="70.5" customHeight="1" x14ac:dyDescent="0.35">
      <c r="A931" s="576"/>
      <c r="B931" s="600"/>
      <c r="C931" s="114" t="s">
        <v>45</v>
      </c>
      <c r="D931" s="116" t="s">
        <v>88</v>
      </c>
      <c r="E931" s="114" t="s">
        <v>25</v>
      </c>
      <c r="F931" s="114">
        <v>90</v>
      </c>
      <c r="G931" s="114">
        <v>90</v>
      </c>
      <c r="H931" s="509">
        <f t="shared" si="79"/>
        <v>100</v>
      </c>
      <c r="I931" s="114"/>
      <c r="J931" s="118"/>
      <c r="K931" s="116"/>
      <c r="L931" s="114"/>
      <c r="M931" s="119"/>
      <c r="N931" s="119"/>
      <c r="O931" s="115"/>
      <c r="P931" s="127"/>
      <c r="Q931" s="113"/>
      <c r="R931" s="114"/>
      <c r="S931" s="579"/>
      <c r="T931" s="211"/>
    </row>
    <row r="932" spans="1:20" s="212" customFormat="1" ht="126.75" customHeight="1" x14ac:dyDescent="0.35">
      <c r="A932" s="576"/>
      <c r="B932" s="600"/>
      <c r="C932" s="114" t="s">
        <v>66</v>
      </c>
      <c r="D932" s="116" t="s">
        <v>130</v>
      </c>
      <c r="E932" s="114" t="s">
        <v>25</v>
      </c>
      <c r="F932" s="114">
        <v>100</v>
      </c>
      <c r="G932" s="114">
        <v>100</v>
      </c>
      <c r="H932" s="509">
        <f t="shared" si="79"/>
        <v>100</v>
      </c>
      <c r="I932" s="114"/>
      <c r="J932" s="118"/>
      <c r="K932" s="116"/>
      <c r="L932" s="114"/>
      <c r="M932" s="119"/>
      <c r="N932" s="119"/>
      <c r="O932" s="115"/>
      <c r="P932" s="127"/>
      <c r="Q932" s="113"/>
      <c r="R932" s="114"/>
      <c r="S932" s="579"/>
      <c r="T932" s="211"/>
    </row>
    <row r="933" spans="1:20" s="331" customFormat="1" ht="40.5" customHeight="1" x14ac:dyDescent="0.35">
      <c r="A933" s="576"/>
      <c r="B933" s="600"/>
      <c r="C933" s="191"/>
      <c r="D933" s="183" t="s">
        <v>6</v>
      </c>
      <c r="E933" s="191"/>
      <c r="F933" s="184"/>
      <c r="G933" s="184"/>
      <c r="H933" s="187"/>
      <c r="I933" s="187">
        <f>(H928+H929+H930+H931+H932)/5</f>
        <v>100</v>
      </c>
      <c r="J933" s="182"/>
      <c r="K933" s="183" t="s">
        <v>6</v>
      </c>
      <c r="L933" s="184"/>
      <c r="M933" s="188"/>
      <c r="N933" s="188"/>
      <c r="O933" s="187"/>
      <c r="P933" s="187">
        <f>O928</f>
        <v>98.666666666666671</v>
      </c>
      <c r="Q933" s="187">
        <f>(I933+P933)/2</f>
        <v>99.333333333333343</v>
      </c>
      <c r="R933" s="191" t="s">
        <v>361</v>
      </c>
      <c r="S933" s="579"/>
      <c r="T933" s="330"/>
    </row>
    <row r="934" spans="1:20" s="212" customFormat="1" ht="62.25" customHeight="1" x14ac:dyDescent="0.35">
      <c r="A934" s="576"/>
      <c r="B934" s="600"/>
      <c r="C934" s="502" t="s">
        <v>28</v>
      </c>
      <c r="D934" s="146" t="s">
        <v>133</v>
      </c>
      <c r="E934" s="114"/>
      <c r="F934" s="114"/>
      <c r="G934" s="114"/>
      <c r="H934" s="113"/>
      <c r="I934" s="113"/>
      <c r="J934" s="502" t="s">
        <v>28</v>
      </c>
      <c r="K934" s="146" t="str">
        <f>D934</f>
        <v>Реализация основных общеобразовательных программ среднего общего образования</v>
      </c>
      <c r="L934" s="114"/>
      <c r="M934" s="119"/>
      <c r="N934" s="119"/>
      <c r="O934" s="113"/>
      <c r="P934" s="127"/>
      <c r="Q934" s="113"/>
      <c r="R934" s="114"/>
      <c r="S934" s="579"/>
      <c r="T934" s="211"/>
    </row>
    <row r="935" spans="1:20" s="212" customFormat="1" ht="72.75" customHeight="1" x14ac:dyDescent="0.35">
      <c r="A935" s="576"/>
      <c r="B935" s="600"/>
      <c r="C935" s="114" t="s">
        <v>29</v>
      </c>
      <c r="D935" s="116" t="s">
        <v>134</v>
      </c>
      <c r="E935" s="114" t="s">
        <v>25</v>
      </c>
      <c r="F935" s="114">
        <v>100</v>
      </c>
      <c r="G935" s="114">
        <v>100</v>
      </c>
      <c r="H935" s="509">
        <f t="shared" ref="H935:H939" si="80">IF(G935/F935*100&gt;100,100,G935/F935*100)</f>
        <v>100</v>
      </c>
      <c r="I935" s="114"/>
      <c r="J935" s="118" t="s">
        <v>29</v>
      </c>
      <c r="K935" s="116" t="s">
        <v>89</v>
      </c>
      <c r="L935" s="114" t="s">
        <v>38</v>
      </c>
      <c r="M935" s="114">
        <v>75</v>
      </c>
      <c r="N935" s="114">
        <v>79</v>
      </c>
      <c r="O935" s="115">
        <f>IF(N935/M935*100&gt;110,110,N935/M935*100)</f>
        <v>105.33333333333333</v>
      </c>
      <c r="P935" s="114"/>
      <c r="Q935" s="113"/>
      <c r="R935" s="114"/>
      <c r="S935" s="579"/>
      <c r="T935" s="211"/>
    </row>
    <row r="936" spans="1:20" s="212" customFormat="1" x14ac:dyDescent="0.35">
      <c r="A936" s="576"/>
      <c r="B936" s="600"/>
      <c r="C936" s="114" t="s">
        <v>30</v>
      </c>
      <c r="D936" s="116" t="s">
        <v>560</v>
      </c>
      <c r="E936" s="114" t="s">
        <v>25</v>
      </c>
      <c r="F936" s="114">
        <v>100</v>
      </c>
      <c r="G936" s="114">
        <v>100</v>
      </c>
      <c r="H936" s="509">
        <f t="shared" si="80"/>
        <v>100</v>
      </c>
      <c r="I936" s="114"/>
      <c r="J936" s="118"/>
      <c r="K936" s="116"/>
      <c r="L936" s="114"/>
      <c r="M936" s="119"/>
      <c r="N936" s="119"/>
      <c r="O936" s="115"/>
      <c r="P936" s="127"/>
      <c r="Q936" s="113"/>
      <c r="R936" s="114"/>
      <c r="S936" s="579"/>
      <c r="T936" s="211"/>
    </row>
    <row r="937" spans="1:20" s="212" customFormat="1" ht="55.5" customHeight="1" x14ac:dyDescent="0.35">
      <c r="A937" s="576"/>
      <c r="B937" s="600"/>
      <c r="C937" s="114" t="s">
        <v>52</v>
      </c>
      <c r="D937" s="116" t="s">
        <v>468</v>
      </c>
      <c r="E937" s="114" t="s">
        <v>25</v>
      </c>
      <c r="F937" s="114">
        <v>100</v>
      </c>
      <c r="G937" s="114">
        <v>100</v>
      </c>
      <c r="H937" s="509">
        <f t="shared" si="80"/>
        <v>100</v>
      </c>
      <c r="I937" s="114"/>
      <c r="J937" s="118"/>
      <c r="K937" s="116"/>
      <c r="L937" s="114"/>
      <c r="M937" s="119"/>
      <c r="N937" s="119"/>
      <c r="O937" s="115"/>
      <c r="P937" s="127"/>
      <c r="Q937" s="113"/>
      <c r="R937" s="114"/>
      <c r="S937" s="579"/>
      <c r="T937" s="211"/>
    </row>
    <row r="938" spans="1:20" s="212" customFormat="1" ht="76.5" customHeight="1" x14ac:dyDescent="0.35">
      <c r="A938" s="576"/>
      <c r="B938" s="600"/>
      <c r="C938" s="114" t="s">
        <v>53</v>
      </c>
      <c r="D938" s="116" t="s">
        <v>88</v>
      </c>
      <c r="E938" s="114" t="s">
        <v>25</v>
      </c>
      <c r="F938" s="114">
        <v>90</v>
      </c>
      <c r="G938" s="114">
        <v>90</v>
      </c>
      <c r="H938" s="509">
        <f t="shared" si="80"/>
        <v>100</v>
      </c>
      <c r="I938" s="114"/>
      <c r="J938" s="118"/>
      <c r="K938" s="116"/>
      <c r="L938" s="114"/>
      <c r="M938" s="119"/>
      <c r="N938" s="119"/>
      <c r="O938" s="115"/>
      <c r="P938" s="127"/>
      <c r="Q938" s="113"/>
      <c r="R938" s="114"/>
      <c r="S938" s="579"/>
      <c r="T938" s="211"/>
    </row>
    <row r="939" spans="1:20" s="212" customFormat="1" ht="127.5" customHeight="1" x14ac:dyDescent="0.35">
      <c r="A939" s="576"/>
      <c r="B939" s="600"/>
      <c r="C939" s="114" t="s">
        <v>135</v>
      </c>
      <c r="D939" s="116" t="s">
        <v>130</v>
      </c>
      <c r="E939" s="114" t="s">
        <v>25</v>
      </c>
      <c r="F939" s="114">
        <v>100</v>
      </c>
      <c r="G939" s="114">
        <v>100</v>
      </c>
      <c r="H939" s="509">
        <f t="shared" si="80"/>
        <v>100</v>
      </c>
      <c r="I939" s="114"/>
      <c r="J939" s="118"/>
      <c r="K939" s="116"/>
      <c r="L939" s="114"/>
      <c r="M939" s="119"/>
      <c r="N939" s="119"/>
      <c r="O939" s="115"/>
      <c r="P939" s="127"/>
      <c r="Q939" s="113"/>
      <c r="R939" s="114"/>
      <c r="S939" s="579"/>
      <c r="T939" s="211"/>
    </row>
    <row r="940" spans="1:20" s="331" customFormat="1" ht="40.5" customHeight="1" x14ac:dyDescent="0.35">
      <c r="A940" s="576"/>
      <c r="B940" s="600"/>
      <c r="C940" s="191"/>
      <c r="D940" s="183" t="s">
        <v>6</v>
      </c>
      <c r="E940" s="191"/>
      <c r="F940" s="184"/>
      <c r="G940" s="184"/>
      <c r="H940" s="187"/>
      <c r="I940" s="187">
        <f>(H935+H936+H937+H938+H939)/5</f>
        <v>100</v>
      </c>
      <c r="J940" s="182"/>
      <c r="K940" s="183" t="s">
        <v>6</v>
      </c>
      <c r="L940" s="184"/>
      <c r="M940" s="188"/>
      <c r="N940" s="188"/>
      <c r="O940" s="187"/>
      <c r="P940" s="187">
        <f>O935</f>
        <v>105.33333333333333</v>
      </c>
      <c r="Q940" s="187">
        <f>(I940+P940)/2</f>
        <v>102.66666666666666</v>
      </c>
      <c r="R940" s="191" t="s">
        <v>31</v>
      </c>
      <c r="S940" s="579"/>
      <c r="T940" s="330"/>
    </row>
    <row r="941" spans="1:20" s="212" customFormat="1" x14ac:dyDescent="0.35">
      <c r="A941" s="576"/>
      <c r="B941" s="600"/>
      <c r="C941" s="502" t="s">
        <v>42</v>
      </c>
      <c r="D941" s="146" t="s">
        <v>90</v>
      </c>
      <c r="E941" s="114"/>
      <c r="F941" s="114"/>
      <c r="G941" s="114"/>
      <c r="H941" s="113"/>
      <c r="I941" s="113"/>
      <c r="J941" s="502" t="s">
        <v>42</v>
      </c>
      <c r="K941" s="146" t="s">
        <v>90</v>
      </c>
      <c r="L941" s="114"/>
      <c r="M941" s="119"/>
      <c r="N941" s="119"/>
      <c r="O941" s="113"/>
      <c r="P941" s="127"/>
      <c r="Q941" s="113"/>
      <c r="R941" s="114"/>
      <c r="S941" s="579"/>
      <c r="T941" s="211"/>
    </row>
    <row r="942" spans="1:20" s="212" customFormat="1" ht="49.5" customHeight="1" x14ac:dyDescent="0.35">
      <c r="A942" s="576"/>
      <c r="B942" s="600"/>
      <c r="C942" s="114" t="s">
        <v>43</v>
      </c>
      <c r="D942" s="116" t="s">
        <v>136</v>
      </c>
      <c r="E942" s="114" t="s">
        <v>25</v>
      </c>
      <c r="F942" s="114">
        <v>100</v>
      </c>
      <c r="G942" s="114">
        <v>100</v>
      </c>
      <c r="H942" s="509">
        <f t="shared" ref="H942:H943" si="81">IF(G942/F942*100&gt;100,100,G942/F942*100)</f>
        <v>100</v>
      </c>
      <c r="I942" s="114"/>
      <c r="J942" s="118" t="s">
        <v>43</v>
      </c>
      <c r="K942" s="116" t="s">
        <v>89</v>
      </c>
      <c r="L942" s="114" t="s">
        <v>38</v>
      </c>
      <c r="M942" s="114">
        <v>139</v>
      </c>
      <c r="N942" s="114">
        <v>135</v>
      </c>
      <c r="O942" s="115">
        <f>IF(N942/M942*100&gt;110,110,N942/M942*100)</f>
        <v>97.122302158273371</v>
      </c>
      <c r="P942" s="127"/>
      <c r="Q942" s="113"/>
      <c r="R942" s="114"/>
      <c r="S942" s="579"/>
      <c r="T942" s="211"/>
    </row>
    <row r="943" spans="1:20" s="212" customFormat="1" ht="75.75" customHeight="1" x14ac:dyDescent="0.35">
      <c r="A943" s="576"/>
      <c r="B943" s="600"/>
      <c r="C943" s="114" t="s">
        <v>137</v>
      </c>
      <c r="D943" s="116" t="s">
        <v>138</v>
      </c>
      <c r="E943" s="114" t="s">
        <v>25</v>
      </c>
      <c r="F943" s="114">
        <v>90</v>
      </c>
      <c r="G943" s="114">
        <v>90</v>
      </c>
      <c r="H943" s="509">
        <f t="shared" si="81"/>
        <v>100</v>
      </c>
      <c r="I943" s="114"/>
      <c r="J943" s="118"/>
      <c r="K943" s="116"/>
      <c r="L943" s="114"/>
      <c r="M943" s="119"/>
      <c r="N943" s="119"/>
      <c r="O943" s="115"/>
      <c r="P943" s="127"/>
      <c r="Q943" s="113"/>
      <c r="R943" s="114"/>
      <c r="S943" s="579"/>
      <c r="T943" s="211"/>
    </row>
    <row r="944" spans="1:20" s="331" customFormat="1" ht="40.5" customHeight="1" x14ac:dyDescent="0.35">
      <c r="A944" s="576"/>
      <c r="B944" s="600"/>
      <c r="C944" s="191"/>
      <c r="D944" s="183" t="s">
        <v>6</v>
      </c>
      <c r="E944" s="191"/>
      <c r="F944" s="184"/>
      <c r="G944" s="184"/>
      <c r="H944" s="187"/>
      <c r="I944" s="187">
        <f>(H942+H943)/2</f>
        <v>100</v>
      </c>
      <c r="J944" s="182"/>
      <c r="K944" s="183" t="s">
        <v>6</v>
      </c>
      <c r="L944" s="184"/>
      <c r="M944" s="188"/>
      <c r="N944" s="188"/>
      <c r="O944" s="187"/>
      <c r="P944" s="187">
        <f>O942</f>
        <v>97.122302158273371</v>
      </c>
      <c r="Q944" s="187">
        <f>(I944+P944)/2</f>
        <v>98.561151079136692</v>
      </c>
      <c r="R944" s="191" t="s">
        <v>361</v>
      </c>
      <c r="S944" s="579"/>
      <c r="T944" s="330"/>
    </row>
    <row r="945" spans="1:21" s="212" customFormat="1" ht="68.25" customHeight="1" x14ac:dyDescent="0.35">
      <c r="A945" s="576"/>
      <c r="B945" s="600"/>
      <c r="C945" s="502" t="s">
        <v>164</v>
      </c>
      <c r="D945" s="146" t="s">
        <v>211</v>
      </c>
      <c r="E945" s="114"/>
      <c r="F945" s="114"/>
      <c r="G945" s="114"/>
      <c r="H945" s="113"/>
      <c r="I945" s="113"/>
      <c r="J945" s="502" t="s">
        <v>164</v>
      </c>
      <c r="K945" s="146" t="str">
        <f>D945</f>
        <v>Реализация дополнительных общеразвивающих программ</v>
      </c>
      <c r="L945" s="114"/>
      <c r="M945" s="119"/>
      <c r="N945" s="119"/>
      <c r="O945" s="113"/>
      <c r="P945" s="127"/>
      <c r="Q945" s="113"/>
      <c r="R945" s="114"/>
      <c r="S945" s="579"/>
      <c r="T945" s="211"/>
    </row>
    <row r="946" spans="1:21" s="212" customFormat="1" ht="86.25" customHeight="1" x14ac:dyDescent="0.35">
      <c r="A946" s="576"/>
      <c r="B946" s="600"/>
      <c r="C946" s="114" t="s">
        <v>165</v>
      </c>
      <c r="D946" s="116" t="s">
        <v>138</v>
      </c>
      <c r="E946" s="114" t="s">
        <v>25</v>
      </c>
      <c r="F946" s="114">
        <v>90</v>
      </c>
      <c r="G946" s="114">
        <v>90</v>
      </c>
      <c r="H946" s="509">
        <f>IF(G946/F946*100&gt;100,100,G946/F946*100)</f>
        <v>100</v>
      </c>
      <c r="I946" s="114"/>
      <c r="J946" s="118" t="s">
        <v>165</v>
      </c>
      <c r="K946" s="116" t="s">
        <v>469</v>
      </c>
      <c r="L946" s="114" t="s">
        <v>339</v>
      </c>
      <c r="M946" s="114">
        <v>51408</v>
      </c>
      <c r="N946" s="114">
        <v>51408</v>
      </c>
      <c r="O946" s="115">
        <f>IF(N946/M946*100&gt;110,110,N946/M946*100)</f>
        <v>100</v>
      </c>
      <c r="P946" s="127"/>
      <c r="Q946" s="113"/>
      <c r="R946" s="114"/>
      <c r="S946" s="579"/>
      <c r="T946" s="211"/>
    </row>
    <row r="947" spans="1:21" s="331" customFormat="1" ht="41.25" customHeight="1" x14ac:dyDescent="0.35">
      <c r="A947" s="576"/>
      <c r="B947" s="600"/>
      <c r="C947" s="191"/>
      <c r="D947" s="183" t="s">
        <v>6</v>
      </c>
      <c r="E947" s="191"/>
      <c r="F947" s="184"/>
      <c r="G947" s="184"/>
      <c r="H947" s="187"/>
      <c r="I947" s="187">
        <f>H946</f>
        <v>100</v>
      </c>
      <c r="J947" s="182"/>
      <c r="K947" s="183" t="s">
        <v>6</v>
      </c>
      <c r="L947" s="184"/>
      <c r="M947" s="188"/>
      <c r="N947" s="188"/>
      <c r="O947" s="187"/>
      <c r="P947" s="187">
        <f>O946</f>
        <v>100</v>
      </c>
      <c r="Q947" s="187">
        <f>(I947+P947)/2</f>
        <v>100</v>
      </c>
      <c r="R947" s="191" t="s">
        <v>31</v>
      </c>
      <c r="S947" s="579"/>
      <c r="T947" s="330"/>
    </row>
    <row r="948" spans="1:21" s="338" customFormat="1" ht="62.25" customHeight="1" x14ac:dyDescent="0.35">
      <c r="A948" s="576">
        <v>58</v>
      </c>
      <c r="B948" s="600" t="s">
        <v>158</v>
      </c>
      <c r="C948" s="120" t="s">
        <v>12</v>
      </c>
      <c r="D948" s="135" t="s">
        <v>87</v>
      </c>
      <c r="E948" s="120"/>
      <c r="F948" s="120"/>
      <c r="G948" s="120"/>
      <c r="H948" s="506"/>
      <c r="I948" s="506"/>
      <c r="J948" s="120" t="s">
        <v>12</v>
      </c>
      <c r="K948" s="135" t="s">
        <v>87</v>
      </c>
      <c r="L948" s="505"/>
      <c r="M948" s="505"/>
      <c r="N948" s="505"/>
      <c r="O948" s="506"/>
      <c r="P948" s="136"/>
      <c r="Q948" s="506"/>
      <c r="R948" s="505"/>
      <c r="S948" s="579" t="s">
        <v>279</v>
      </c>
      <c r="T948" s="337"/>
    </row>
    <row r="949" spans="1:21" s="338" customFormat="1" ht="77.25" customHeight="1" x14ac:dyDescent="0.35">
      <c r="A949" s="576"/>
      <c r="B949" s="600"/>
      <c r="C949" s="505" t="s">
        <v>7</v>
      </c>
      <c r="D949" s="508" t="s">
        <v>88</v>
      </c>
      <c r="E949" s="505" t="s">
        <v>392</v>
      </c>
      <c r="F949" s="505">
        <v>95</v>
      </c>
      <c r="G949" s="505">
        <v>100</v>
      </c>
      <c r="H949" s="509">
        <f>IF(G949/F949*100&gt;100,100,G949/F949*100)</f>
        <v>100</v>
      </c>
      <c r="I949" s="505"/>
      <c r="J949" s="505" t="s">
        <v>7</v>
      </c>
      <c r="K949" s="508" t="s">
        <v>379</v>
      </c>
      <c r="L949" s="505" t="s">
        <v>393</v>
      </c>
      <c r="M949" s="505">
        <v>8</v>
      </c>
      <c r="N949" s="505">
        <v>8</v>
      </c>
      <c r="O949" s="509">
        <f>IF(N949/M949*100&gt;110,110,N949/M949*100)</f>
        <v>100</v>
      </c>
      <c r="P949" s="136"/>
      <c r="Q949" s="506"/>
      <c r="R949" s="505"/>
      <c r="S949" s="579"/>
      <c r="T949" s="337"/>
    </row>
    <row r="950" spans="1:21" s="338" customFormat="1" ht="72.75" customHeight="1" x14ac:dyDescent="0.35">
      <c r="A950" s="576"/>
      <c r="B950" s="600"/>
      <c r="C950" s="505"/>
      <c r="D950" s="508"/>
      <c r="E950" s="505"/>
      <c r="F950" s="505"/>
      <c r="G950" s="505"/>
      <c r="H950" s="509"/>
      <c r="I950" s="505"/>
      <c r="J950" s="505" t="s">
        <v>8</v>
      </c>
      <c r="K950" s="508" t="s">
        <v>377</v>
      </c>
      <c r="L950" s="505" t="s">
        <v>393</v>
      </c>
      <c r="M950" s="505">
        <v>36</v>
      </c>
      <c r="N950" s="505">
        <v>36</v>
      </c>
      <c r="O950" s="509">
        <f>IF(N950/M950*100&gt;110,110,N950/M950*100)</f>
        <v>100</v>
      </c>
      <c r="P950" s="136"/>
      <c r="Q950" s="506"/>
      <c r="R950" s="505"/>
      <c r="S950" s="579"/>
      <c r="T950" s="337"/>
    </row>
    <row r="951" spans="1:21" s="338" customFormat="1" ht="72.75" customHeight="1" x14ac:dyDescent="0.35">
      <c r="A951" s="576"/>
      <c r="B951" s="600"/>
      <c r="C951" s="505"/>
      <c r="D951" s="508"/>
      <c r="E951" s="505"/>
      <c r="F951" s="505"/>
      <c r="G951" s="505"/>
      <c r="H951" s="509"/>
      <c r="I951" s="505"/>
      <c r="J951" s="505" t="s">
        <v>9</v>
      </c>
      <c r="K951" s="508" t="s">
        <v>322</v>
      </c>
      <c r="L951" s="505" t="s">
        <v>38</v>
      </c>
      <c r="M951" s="505">
        <v>1</v>
      </c>
      <c r="N951" s="505">
        <v>1</v>
      </c>
      <c r="O951" s="509">
        <f>IF(N951/M951*100&gt;110,110,N951/M951*100)</f>
        <v>100</v>
      </c>
      <c r="P951" s="136"/>
      <c r="Q951" s="506"/>
      <c r="R951" s="505"/>
      <c r="S951" s="579"/>
      <c r="T951" s="337"/>
    </row>
    <row r="952" spans="1:21" s="331" customFormat="1" ht="62.25" customHeight="1" x14ac:dyDescent="0.35">
      <c r="A952" s="576"/>
      <c r="B952" s="600"/>
      <c r="C952" s="182"/>
      <c r="D952" s="183" t="s">
        <v>6</v>
      </c>
      <c r="E952" s="184"/>
      <c r="F952" s="185"/>
      <c r="G952" s="186"/>
      <c r="H952" s="187"/>
      <c r="I952" s="187">
        <f>H949</f>
        <v>100</v>
      </c>
      <c r="J952" s="184"/>
      <c r="K952" s="183" t="s">
        <v>6</v>
      </c>
      <c r="L952" s="184"/>
      <c r="M952" s="188"/>
      <c r="N952" s="188"/>
      <c r="O952" s="187"/>
      <c r="P952" s="187">
        <f>(O951+O949+O950)/3</f>
        <v>100</v>
      </c>
      <c r="Q952" s="187">
        <f>(I952+P952)/2</f>
        <v>100</v>
      </c>
      <c r="R952" s="191" t="s">
        <v>31</v>
      </c>
      <c r="S952" s="579"/>
      <c r="T952" s="337"/>
      <c r="U952" s="339"/>
    </row>
    <row r="953" spans="1:21" s="338" customFormat="1" x14ac:dyDescent="0.35">
      <c r="A953" s="576"/>
      <c r="B953" s="600"/>
      <c r="C953" s="120" t="s">
        <v>13</v>
      </c>
      <c r="D953" s="135" t="s">
        <v>90</v>
      </c>
      <c r="E953" s="505"/>
      <c r="F953" s="505"/>
      <c r="G953" s="505"/>
      <c r="H953" s="506"/>
      <c r="I953" s="506"/>
      <c r="J953" s="120" t="s">
        <v>13</v>
      </c>
      <c r="K953" s="135" t="s">
        <v>90</v>
      </c>
      <c r="L953" s="505"/>
      <c r="M953" s="138"/>
      <c r="N953" s="138"/>
      <c r="O953" s="506"/>
      <c r="P953" s="136"/>
      <c r="Q953" s="506"/>
      <c r="R953" s="505"/>
      <c r="S953" s="579"/>
      <c r="T953" s="337"/>
    </row>
    <row r="954" spans="1:21" s="338" customFormat="1" ht="63.75" customHeight="1" x14ac:dyDescent="0.35">
      <c r="A954" s="576"/>
      <c r="B954" s="600"/>
      <c r="C954" s="505" t="s">
        <v>14</v>
      </c>
      <c r="D954" s="508" t="s">
        <v>88</v>
      </c>
      <c r="E954" s="505" t="s">
        <v>392</v>
      </c>
      <c r="F954" s="505">
        <v>95</v>
      </c>
      <c r="G954" s="505">
        <v>100</v>
      </c>
      <c r="H954" s="509">
        <f>IF(G954/F954*100&gt;100,100,G954/F954*100)</f>
        <v>100</v>
      </c>
      <c r="I954" s="505"/>
      <c r="J954" s="139" t="s">
        <v>14</v>
      </c>
      <c r="K954" s="508" t="s">
        <v>320</v>
      </c>
      <c r="L954" s="505" t="s">
        <v>393</v>
      </c>
      <c r="M954" s="505">
        <v>45</v>
      </c>
      <c r="N954" s="505">
        <v>45</v>
      </c>
      <c r="O954" s="509">
        <f>IF(N954/M954*100&gt;110,110,N954/M954*100)</f>
        <v>100</v>
      </c>
      <c r="P954" s="136"/>
      <c r="Q954" s="506"/>
      <c r="R954" s="505"/>
      <c r="S954" s="579"/>
      <c r="T954" s="337"/>
    </row>
    <row r="955" spans="1:21" s="338" customFormat="1" ht="80.25" customHeight="1" x14ac:dyDescent="0.35">
      <c r="A955" s="576"/>
      <c r="B955" s="600"/>
      <c r="C955" s="505" t="s">
        <v>15</v>
      </c>
      <c r="D955" s="508" t="s">
        <v>378</v>
      </c>
      <c r="E955" s="505" t="s">
        <v>394</v>
      </c>
      <c r="F955" s="505">
        <v>35</v>
      </c>
      <c r="G955" s="505">
        <v>21</v>
      </c>
      <c r="H955" s="509">
        <f t="shared" ref="H955" si="82">IF(F955/G955*100&gt;100,100,F955/G955*100)</f>
        <v>100</v>
      </c>
      <c r="I955" s="505"/>
      <c r="J955" s="139"/>
      <c r="K955" s="508"/>
      <c r="L955" s="505"/>
      <c r="M955" s="140"/>
      <c r="N955" s="140"/>
      <c r="O955" s="509"/>
      <c r="P955" s="136"/>
      <c r="Q955" s="506"/>
      <c r="R955" s="505"/>
      <c r="S955" s="579"/>
      <c r="T955" s="337"/>
    </row>
    <row r="956" spans="1:21" s="331" customFormat="1" ht="54.75" customHeight="1" x14ac:dyDescent="0.35">
      <c r="A956" s="576"/>
      <c r="B956" s="600"/>
      <c r="C956" s="182"/>
      <c r="D956" s="183" t="s">
        <v>6</v>
      </c>
      <c r="E956" s="184"/>
      <c r="F956" s="185"/>
      <c r="G956" s="186"/>
      <c r="H956" s="187"/>
      <c r="I956" s="187">
        <f>(H954+H955)/2</f>
        <v>100</v>
      </c>
      <c r="J956" s="184"/>
      <c r="K956" s="183" t="s">
        <v>455</v>
      </c>
      <c r="L956" s="184"/>
      <c r="M956" s="188"/>
      <c r="N956" s="188"/>
      <c r="O956" s="187"/>
      <c r="P956" s="187">
        <f>O954</f>
        <v>100</v>
      </c>
      <c r="Q956" s="187">
        <f>(I956+P956)/2</f>
        <v>100</v>
      </c>
      <c r="R956" s="191" t="s">
        <v>31</v>
      </c>
      <c r="S956" s="579"/>
      <c r="T956" s="337"/>
      <c r="U956" s="339"/>
    </row>
    <row r="957" spans="1:21" s="212" customFormat="1" ht="66" customHeight="1" x14ac:dyDescent="0.35">
      <c r="A957" s="576"/>
      <c r="B957" s="600"/>
      <c r="C957" s="502" t="s">
        <v>28</v>
      </c>
      <c r="D957" s="146" t="s">
        <v>128</v>
      </c>
      <c r="E957" s="502"/>
      <c r="F957" s="502"/>
      <c r="G957" s="502"/>
      <c r="H957" s="113"/>
      <c r="I957" s="113"/>
      <c r="J957" s="502" t="s">
        <v>28</v>
      </c>
      <c r="K957" s="146" t="s">
        <v>128</v>
      </c>
      <c r="L957" s="114"/>
      <c r="M957" s="114"/>
      <c r="N957" s="114"/>
      <c r="O957" s="113"/>
      <c r="P957" s="127"/>
      <c r="Q957" s="113"/>
      <c r="R957" s="114"/>
      <c r="S957" s="579"/>
      <c r="T957" s="337"/>
    </row>
    <row r="958" spans="1:21" s="212" customFormat="1" ht="69" customHeight="1" x14ac:dyDescent="0.35">
      <c r="A958" s="576"/>
      <c r="B958" s="600"/>
      <c r="C958" s="114" t="s">
        <v>29</v>
      </c>
      <c r="D958" s="116" t="s">
        <v>129</v>
      </c>
      <c r="E958" s="114" t="s">
        <v>25</v>
      </c>
      <c r="F958" s="114">
        <v>100</v>
      </c>
      <c r="G958" s="114">
        <v>100</v>
      </c>
      <c r="H958" s="509">
        <f t="shared" ref="H958:H962" si="83">IF(G958/F958*100&gt;100,100,G958/F958*100)</f>
        <v>100</v>
      </c>
      <c r="I958" s="114"/>
      <c r="J958" s="114" t="s">
        <v>29</v>
      </c>
      <c r="K958" s="116" t="s">
        <v>89</v>
      </c>
      <c r="L958" s="114" t="s">
        <v>38</v>
      </c>
      <c r="M958" s="114">
        <v>40</v>
      </c>
      <c r="N958" s="114">
        <v>42</v>
      </c>
      <c r="O958" s="115">
        <f>IF(N958/M958*100&gt;110,110,N958/M958*100)</f>
        <v>105</v>
      </c>
      <c r="P958" s="127"/>
      <c r="Q958" s="113"/>
      <c r="R958" s="114"/>
      <c r="S958" s="579"/>
      <c r="T958" s="337"/>
    </row>
    <row r="959" spans="1:21" s="212" customFormat="1" ht="33" customHeight="1" x14ac:dyDescent="0.35">
      <c r="A959" s="576"/>
      <c r="B959" s="600"/>
      <c r="C959" s="114" t="s">
        <v>30</v>
      </c>
      <c r="D959" s="116" t="s">
        <v>561</v>
      </c>
      <c r="E959" s="114" t="s">
        <v>25</v>
      </c>
      <c r="F959" s="114">
        <v>100</v>
      </c>
      <c r="G959" s="114">
        <v>100</v>
      </c>
      <c r="H959" s="509">
        <f t="shared" si="83"/>
        <v>100</v>
      </c>
      <c r="I959" s="114"/>
      <c r="J959" s="114"/>
      <c r="K959" s="503"/>
      <c r="L959" s="114"/>
      <c r="M959" s="117"/>
      <c r="N959" s="117"/>
      <c r="O959" s="115"/>
      <c r="P959" s="127"/>
      <c r="Q959" s="113"/>
      <c r="R959" s="114"/>
      <c r="S959" s="579"/>
      <c r="T959" s="337"/>
    </row>
    <row r="960" spans="1:21" s="212" customFormat="1" ht="48.75" customHeight="1" x14ac:dyDescent="0.35">
      <c r="A960" s="576"/>
      <c r="B960" s="600"/>
      <c r="C960" s="114" t="s">
        <v>52</v>
      </c>
      <c r="D960" s="116" t="s">
        <v>468</v>
      </c>
      <c r="E960" s="114" t="s">
        <v>389</v>
      </c>
      <c r="F960" s="114">
        <v>100</v>
      </c>
      <c r="G960" s="114">
        <v>100</v>
      </c>
      <c r="H960" s="509">
        <f t="shared" si="83"/>
        <v>100</v>
      </c>
      <c r="I960" s="114"/>
      <c r="J960" s="118"/>
      <c r="K960" s="116"/>
      <c r="L960" s="114"/>
      <c r="M960" s="119"/>
      <c r="N960" s="119"/>
      <c r="O960" s="115"/>
      <c r="P960" s="127"/>
      <c r="Q960" s="113"/>
      <c r="R960" s="114"/>
      <c r="S960" s="579"/>
      <c r="T960" s="337"/>
    </row>
    <row r="961" spans="1:20" s="212" customFormat="1" ht="57" customHeight="1" x14ac:dyDescent="0.35">
      <c r="A961" s="576"/>
      <c r="B961" s="600"/>
      <c r="C961" s="114" t="s">
        <v>53</v>
      </c>
      <c r="D961" s="116" t="s">
        <v>390</v>
      </c>
      <c r="E961" s="114" t="s">
        <v>25</v>
      </c>
      <c r="F961" s="114">
        <v>90</v>
      </c>
      <c r="G961" s="114">
        <v>100</v>
      </c>
      <c r="H961" s="509">
        <f t="shared" si="83"/>
        <v>100</v>
      </c>
      <c r="I961" s="114"/>
      <c r="J961" s="118"/>
      <c r="K961" s="116"/>
      <c r="L961" s="114"/>
      <c r="M961" s="119"/>
      <c r="N961" s="119"/>
      <c r="O961" s="115"/>
      <c r="P961" s="127"/>
      <c r="Q961" s="113"/>
      <c r="R961" s="114"/>
      <c r="S961" s="579"/>
      <c r="T961" s="337"/>
    </row>
    <row r="962" spans="1:20" s="212" customFormat="1" ht="111.75" customHeight="1" x14ac:dyDescent="0.35">
      <c r="A962" s="576"/>
      <c r="B962" s="600"/>
      <c r="C962" s="114" t="s">
        <v>135</v>
      </c>
      <c r="D962" s="116" t="s">
        <v>130</v>
      </c>
      <c r="E962" s="114" t="s">
        <v>25</v>
      </c>
      <c r="F962" s="114">
        <v>100</v>
      </c>
      <c r="G962" s="114">
        <v>100</v>
      </c>
      <c r="H962" s="509">
        <f t="shared" si="83"/>
        <v>100</v>
      </c>
      <c r="I962" s="114"/>
      <c r="J962" s="118"/>
      <c r="K962" s="116"/>
      <c r="L962" s="114"/>
      <c r="M962" s="119"/>
      <c r="N962" s="119"/>
      <c r="O962" s="115"/>
      <c r="P962" s="127"/>
      <c r="Q962" s="113"/>
      <c r="R962" s="114"/>
      <c r="S962" s="579"/>
      <c r="T962" s="337"/>
    </row>
    <row r="963" spans="1:20" s="331" customFormat="1" ht="40.5" customHeight="1" x14ac:dyDescent="0.35">
      <c r="A963" s="576"/>
      <c r="B963" s="600"/>
      <c r="C963" s="191"/>
      <c r="D963" s="183" t="s">
        <v>6</v>
      </c>
      <c r="E963" s="191"/>
      <c r="F963" s="184"/>
      <c r="G963" s="184"/>
      <c r="H963" s="187"/>
      <c r="I963" s="187">
        <f>(H958+H959+H960+H961+H962)/5</f>
        <v>100</v>
      </c>
      <c r="J963" s="182"/>
      <c r="K963" s="183" t="s">
        <v>6</v>
      </c>
      <c r="L963" s="184"/>
      <c r="M963" s="188"/>
      <c r="N963" s="188"/>
      <c r="O963" s="187"/>
      <c r="P963" s="187">
        <f>O958</f>
        <v>105</v>
      </c>
      <c r="Q963" s="187">
        <f>(I963+P963)/2</f>
        <v>102.5</v>
      </c>
      <c r="R963" s="191" t="s">
        <v>31</v>
      </c>
      <c r="S963" s="579"/>
      <c r="T963" s="337"/>
    </row>
    <row r="964" spans="1:20" s="212" customFormat="1" ht="89.25" customHeight="1" x14ac:dyDescent="0.35">
      <c r="A964" s="576"/>
      <c r="B964" s="600"/>
      <c r="C964" s="502" t="s">
        <v>42</v>
      </c>
      <c r="D964" s="146" t="s">
        <v>131</v>
      </c>
      <c r="E964" s="114"/>
      <c r="F964" s="114"/>
      <c r="G964" s="114"/>
      <c r="H964" s="113"/>
      <c r="I964" s="113"/>
      <c r="J964" s="502" t="s">
        <v>42</v>
      </c>
      <c r="K964" s="146" t="s">
        <v>131</v>
      </c>
      <c r="L964" s="114"/>
      <c r="M964" s="119"/>
      <c r="N964" s="119"/>
      <c r="O964" s="113"/>
      <c r="P964" s="127"/>
      <c r="Q964" s="113"/>
      <c r="R964" s="114"/>
      <c r="S964" s="579"/>
      <c r="T964" s="337"/>
    </row>
    <row r="965" spans="1:20" s="212" customFormat="1" ht="73.5" customHeight="1" x14ac:dyDescent="0.35">
      <c r="A965" s="576"/>
      <c r="B965" s="600"/>
      <c r="C965" s="114" t="s">
        <v>43</v>
      </c>
      <c r="D965" s="116" t="s">
        <v>132</v>
      </c>
      <c r="E965" s="114" t="s">
        <v>25</v>
      </c>
      <c r="F965" s="114">
        <v>100</v>
      </c>
      <c r="G965" s="114">
        <v>100</v>
      </c>
      <c r="H965" s="509">
        <f t="shared" ref="H965:H969" si="84">IF(G965/F965*100&gt;100,100,G965/F965*100)</f>
        <v>100</v>
      </c>
      <c r="I965" s="114"/>
      <c r="J965" s="118" t="s">
        <v>43</v>
      </c>
      <c r="K965" s="116" t="s">
        <v>89</v>
      </c>
      <c r="L965" s="114" t="s">
        <v>38</v>
      </c>
      <c r="M965" s="114">
        <v>52</v>
      </c>
      <c r="N965" s="114">
        <v>55</v>
      </c>
      <c r="O965" s="115">
        <f>IF(N965/M965*100&gt;110,110,N965/M965*100)</f>
        <v>105.76923076923077</v>
      </c>
      <c r="P965" s="114"/>
      <c r="Q965" s="113"/>
      <c r="R965" s="114"/>
      <c r="S965" s="579"/>
      <c r="T965" s="337"/>
    </row>
    <row r="966" spans="1:20" s="212" customFormat="1" ht="33" customHeight="1" x14ac:dyDescent="0.35">
      <c r="A966" s="576"/>
      <c r="B966" s="600"/>
      <c r="C966" s="114" t="s">
        <v>137</v>
      </c>
      <c r="D966" s="116" t="s">
        <v>559</v>
      </c>
      <c r="E966" s="114" t="s">
        <v>25</v>
      </c>
      <c r="F966" s="114">
        <v>100</v>
      </c>
      <c r="G966" s="114">
        <v>100</v>
      </c>
      <c r="H966" s="509">
        <f t="shared" si="84"/>
        <v>100</v>
      </c>
      <c r="I966" s="114"/>
      <c r="J966" s="118"/>
      <c r="K966" s="116"/>
      <c r="L966" s="114"/>
      <c r="M966" s="119"/>
      <c r="N966" s="119"/>
      <c r="O966" s="115"/>
      <c r="P966" s="127"/>
      <c r="Q966" s="113"/>
      <c r="R966" s="114"/>
      <c r="S966" s="579"/>
      <c r="T966" s="337"/>
    </row>
    <row r="967" spans="1:20" s="212" customFormat="1" ht="45.75" customHeight="1" x14ac:dyDescent="0.35">
      <c r="A967" s="576"/>
      <c r="B967" s="600"/>
      <c r="C967" s="114" t="s">
        <v>161</v>
      </c>
      <c r="D967" s="116" t="s">
        <v>468</v>
      </c>
      <c r="E967" s="114" t="s">
        <v>389</v>
      </c>
      <c r="F967" s="114">
        <v>100</v>
      </c>
      <c r="G967" s="114">
        <v>100</v>
      </c>
      <c r="H967" s="509">
        <f t="shared" si="84"/>
        <v>100</v>
      </c>
      <c r="I967" s="114"/>
      <c r="J967" s="118"/>
      <c r="K967" s="116"/>
      <c r="L967" s="114"/>
      <c r="M967" s="119"/>
      <c r="N967" s="119"/>
      <c r="O967" s="115"/>
      <c r="P967" s="127"/>
      <c r="Q967" s="113"/>
      <c r="R967" s="114"/>
      <c r="S967" s="579"/>
      <c r="T967" s="337"/>
    </row>
    <row r="968" spans="1:20" s="212" customFormat="1" ht="57.75" customHeight="1" x14ac:dyDescent="0.35">
      <c r="A968" s="576"/>
      <c r="B968" s="600"/>
      <c r="C968" s="114" t="s">
        <v>162</v>
      </c>
      <c r="D968" s="116" t="s">
        <v>390</v>
      </c>
      <c r="E968" s="114" t="s">
        <v>25</v>
      </c>
      <c r="F968" s="114">
        <v>90</v>
      </c>
      <c r="G968" s="114">
        <v>100</v>
      </c>
      <c r="H968" s="509">
        <f t="shared" si="84"/>
        <v>100</v>
      </c>
      <c r="I968" s="114"/>
      <c r="J968" s="118"/>
      <c r="K968" s="116"/>
      <c r="L968" s="114"/>
      <c r="M968" s="119"/>
      <c r="N968" s="119"/>
      <c r="O968" s="115"/>
      <c r="P968" s="127"/>
      <c r="Q968" s="113"/>
      <c r="R968" s="114"/>
      <c r="S968" s="579"/>
      <c r="T968" s="337"/>
    </row>
    <row r="969" spans="1:20" s="212" customFormat="1" ht="128.25" customHeight="1" x14ac:dyDescent="0.35">
      <c r="A969" s="576"/>
      <c r="B969" s="600"/>
      <c r="C969" s="114" t="s">
        <v>163</v>
      </c>
      <c r="D969" s="116" t="s">
        <v>130</v>
      </c>
      <c r="E969" s="114" t="s">
        <v>25</v>
      </c>
      <c r="F969" s="114">
        <v>100</v>
      </c>
      <c r="G969" s="114">
        <v>100</v>
      </c>
      <c r="H969" s="509">
        <f t="shared" si="84"/>
        <v>100</v>
      </c>
      <c r="I969" s="114"/>
      <c r="J969" s="118"/>
      <c r="K969" s="116"/>
      <c r="L969" s="114"/>
      <c r="M969" s="119"/>
      <c r="N969" s="119"/>
      <c r="O969" s="115"/>
      <c r="P969" s="127"/>
      <c r="Q969" s="113"/>
      <c r="R969" s="114"/>
      <c r="S969" s="579"/>
      <c r="T969" s="337"/>
    </row>
    <row r="970" spans="1:20" s="331" customFormat="1" ht="40.5" customHeight="1" x14ac:dyDescent="0.35">
      <c r="A970" s="576"/>
      <c r="B970" s="600"/>
      <c r="C970" s="191"/>
      <c r="D970" s="183" t="s">
        <v>6</v>
      </c>
      <c r="E970" s="191"/>
      <c r="F970" s="184"/>
      <c r="G970" s="184"/>
      <c r="H970" s="187"/>
      <c r="I970" s="187">
        <f>(H965+H966+H967+H968+H969)/5</f>
        <v>100</v>
      </c>
      <c r="J970" s="182"/>
      <c r="K970" s="183" t="s">
        <v>6</v>
      </c>
      <c r="L970" s="184"/>
      <c r="M970" s="188"/>
      <c r="N970" s="188"/>
      <c r="O970" s="187"/>
      <c r="P970" s="187">
        <f>O965</f>
        <v>105.76923076923077</v>
      </c>
      <c r="Q970" s="187">
        <f>(I970+P970)/2</f>
        <v>102.88461538461539</v>
      </c>
      <c r="R970" s="191" t="s">
        <v>31</v>
      </c>
      <c r="S970" s="579"/>
      <c r="T970" s="337"/>
    </row>
    <row r="971" spans="1:20" s="212" customFormat="1" ht="75.75" customHeight="1" x14ac:dyDescent="0.35">
      <c r="A971" s="576"/>
      <c r="B971" s="600"/>
      <c r="C971" s="502" t="s">
        <v>164</v>
      </c>
      <c r="D971" s="146" t="s">
        <v>133</v>
      </c>
      <c r="E971" s="114"/>
      <c r="F971" s="114"/>
      <c r="G971" s="114"/>
      <c r="H971" s="113"/>
      <c r="I971" s="113"/>
      <c r="J971" s="502" t="s">
        <v>164</v>
      </c>
      <c r="K971" s="146" t="str">
        <f>D971</f>
        <v>Реализация основных общеобразовательных программ среднего общего образования</v>
      </c>
      <c r="L971" s="114"/>
      <c r="M971" s="119"/>
      <c r="N971" s="119"/>
      <c r="O971" s="113"/>
      <c r="P971" s="127"/>
      <c r="Q971" s="113"/>
      <c r="R971" s="114"/>
      <c r="S971" s="579"/>
      <c r="T971" s="337"/>
    </row>
    <row r="972" spans="1:20" s="212" customFormat="1" ht="80.25" customHeight="1" x14ac:dyDescent="0.35">
      <c r="A972" s="576"/>
      <c r="B972" s="600"/>
      <c r="C972" s="114" t="s">
        <v>165</v>
      </c>
      <c r="D972" s="116" t="s">
        <v>134</v>
      </c>
      <c r="E972" s="114" t="s">
        <v>25</v>
      </c>
      <c r="F972" s="114">
        <v>100</v>
      </c>
      <c r="G972" s="114">
        <v>100</v>
      </c>
      <c r="H972" s="509">
        <f t="shared" ref="H972:H976" si="85">IF(G972/F972*100&gt;100,100,G972/F972*100)</f>
        <v>100</v>
      </c>
      <c r="I972" s="114"/>
      <c r="J972" s="118" t="s">
        <v>165</v>
      </c>
      <c r="K972" s="116" t="s">
        <v>89</v>
      </c>
      <c r="L972" s="114" t="s">
        <v>38</v>
      </c>
      <c r="M972" s="114">
        <v>16</v>
      </c>
      <c r="N972" s="114">
        <v>16</v>
      </c>
      <c r="O972" s="115">
        <f>IF(N972/M972*100&gt;110,110,N972/M972*100)</f>
        <v>100</v>
      </c>
      <c r="P972" s="114"/>
      <c r="Q972" s="113"/>
      <c r="R972" s="114"/>
      <c r="S972" s="579"/>
      <c r="T972" s="337"/>
    </row>
    <row r="973" spans="1:20" s="212" customFormat="1" ht="33" customHeight="1" x14ac:dyDescent="0.35">
      <c r="A973" s="576"/>
      <c r="B973" s="600"/>
      <c r="C973" s="114" t="s">
        <v>166</v>
      </c>
      <c r="D973" s="116" t="s">
        <v>560</v>
      </c>
      <c r="E973" s="114" t="s">
        <v>25</v>
      </c>
      <c r="F973" s="114">
        <v>100</v>
      </c>
      <c r="G973" s="114">
        <v>100</v>
      </c>
      <c r="H973" s="509">
        <f t="shared" si="85"/>
        <v>100</v>
      </c>
      <c r="I973" s="114"/>
      <c r="J973" s="118"/>
      <c r="K973" s="116"/>
      <c r="L973" s="114"/>
      <c r="M973" s="119"/>
      <c r="N973" s="119"/>
      <c r="O973" s="115"/>
      <c r="P973" s="127"/>
      <c r="Q973" s="113"/>
      <c r="R973" s="114"/>
      <c r="S973" s="579"/>
      <c r="T973" s="337"/>
    </row>
    <row r="974" spans="1:20" s="212" customFormat="1" ht="56.25" customHeight="1" x14ac:dyDescent="0.35">
      <c r="A974" s="576"/>
      <c r="B974" s="600"/>
      <c r="C974" s="114" t="s">
        <v>167</v>
      </c>
      <c r="D974" s="116" t="s">
        <v>468</v>
      </c>
      <c r="E974" s="114" t="s">
        <v>389</v>
      </c>
      <c r="F974" s="114">
        <v>100</v>
      </c>
      <c r="G974" s="114">
        <v>100</v>
      </c>
      <c r="H974" s="509">
        <f t="shared" si="85"/>
        <v>100</v>
      </c>
      <c r="I974" s="114"/>
      <c r="J974" s="118"/>
      <c r="K974" s="116"/>
      <c r="L974" s="114"/>
      <c r="M974" s="119"/>
      <c r="N974" s="119"/>
      <c r="O974" s="115"/>
      <c r="P974" s="127"/>
      <c r="Q974" s="113"/>
      <c r="R974" s="114"/>
      <c r="S974" s="579"/>
      <c r="T974" s="337"/>
    </row>
    <row r="975" spans="1:20" s="212" customFormat="1" ht="58.5" customHeight="1" x14ac:dyDescent="0.35">
      <c r="A975" s="576"/>
      <c r="B975" s="600"/>
      <c r="C975" s="114" t="s">
        <v>168</v>
      </c>
      <c r="D975" s="116" t="s">
        <v>390</v>
      </c>
      <c r="E975" s="114" t="s">
        <v>25</v>
      </c>
      <c r="F975" s="114">
        <v>90</v>
      </c>
      <c r="G975" s="114">
        <v>90</v>
      </c>
      <c r="H975" s="509">
        <f t="shared" si="85"/>
        <v>100</v>
      </c>
      <c r="I975" s="114"/>
      <c r="J975" s="118"/>
      <c r="K975" s="116"/>
      <c r="L975" s="114"/>
      <c r="M975" s="119"/>
      <c r="N975" s="119"/>
      <c r="O975" s="115"/>
      <c r="P975" s="127"/>
      <c r="Q975" s="113"/>
      <c r="R975" s="114"/>
      <c r="S975" s="579"/>
      <c r="T975" s="337"/>
    </row>
    <row r="976" spans="1:20" s="212" customFormat="1" ht="122.25" customHeight="1" x14ac:dyDescent="0.35">
      <c r="A976" s="576"/>
      <c r="B976" s="600"/>
      <c r="C976" s="114" t="s">
        <v>169</v>
      </c>
      <c r="D976" s="116" t="s">
        <v>130</v>
      </c>
      <c r="E976" s="114" t="s">
        <v>25</v>
      </c>
      <c r="F976" s="114">
        <v>100</v>
      </c>
      <c r="G976" s="114">
        <v>100</v>
      </c>
      <c r="H976" s="509">
        <f t="shared" si="85"/>
        <v>100</v>
      </c>
      <c r="I976" s="114"/>
      <c r="J976" s="118"/>
      <c r="K976" s="116"/>
      <c r="L976" s="114"/>
      <c r="M976" s="119"/>
      <c r="N976" s="119"/>
      <c r="O976" s="115"/>
      <c r="P976" s="127"/>
      <c r="Q976" s="113"/>
      <c r="R976" s="114"/>
      <c r="S976" s="579"/>
      <c r="T976" s="337"/>
    </row>
    <row r="977" spans="1:20" s="331" customFormat="1" ht="40.5" customHeight="1" x14ac:dyDescent="0.35">
      <c r="A977" s="576"/>
      <c r="B977" s="600"/>
      <c r="C977" s="191"/>
      <c r="D977" s="183" t="s">
        <v>6</v>
      </c>
      <c r="E977" s="191"/>
      <c r="F977" s="184"/>
      <c r="G977" s="184"/>
      <c r="H977" s="187"/>
      <c r="I977" s="187">
        <f>(H972+H973+H974+H975+H976)/5</f>
        <v>100</v>
      </c>
      <c r="J977" s="182"/>
      <c r="K977" s="183" t="s">
        <v>6</v>
      </c>
      <c r="L977" s="184"/>
      <c r="M977" s="188"/>
      <c r="N977" s="188"/>
      <c r="O977" s="187"/>
      <c r="P977" s="187">
        <f>O972</f>
        <v>100</v>
      </c>
      <c r="Q977" s="187">
        <f>(I977+P977)/2</f>
        <v>100</v>
      </c>
      <c r="R977" s="191" t="s">
        <v>31</v>
      </c>
      <c r="S977" s="579"/>
      <c r="T977" s="337"/>
    </row>
    <row r="978" spans="1:20" s="212" customFormat="1" ht="40.5" customHeight="1" x14ac:dyDescent="0.35">
      <c r="A978" s="576"/>
      <c r="B978" s="600"/>
      <c r="C978" s="502" t="s">
        <v>170</v>
      </c>
      <c r="D978" s="146" t="s">
        <v>90</v>
      </c>
      <c r="E978" s="502"/>
      <c r="F978" s="114"/>
      <c r="G978" s="114"/>
      <c r="H978" s="113"/>
      <c r="I978" s="113"/>
      <c r="J978" s="209" t="s">
        <v>170</v>
      </c>
      <c r="K978" s="146" t="s">
        <v>90</v>
      </c>
      <c r="L978" s="114"/>
      <c r="M978" s="210"/>
      <c r="N978" s="210"/>
      <c r="O978" s="113"/>
      <c r="P978" s="113"/>
      <c r="Q978" s="113"/>
      <c r="R978" s="502"/>
      <c r="S978" s="579"/>
      <c r="T978" s="337"/>
    </row>
    <row r="979" spans="1:20" s="212" customFormat="1" ht="40.5" customHeight="1" x14ac:dyDescent="0.35">
      <c r="A979" s="576"/>
      <c r="B979" s="600"/>
      <c r="C979" s="114" t="s">
        <v>471</v>
      </c>
      <c r="D979" s="116" t="s">
        <v>136</v>
      </c>
      <c r="E979" s="114" t="s">
        <v>25</v>
      </c>
      <c r="F979" s="114">
        <v>100</v>
      </c>
      <c r="G979" s="114">
        <v>100</v>
      </c>
      <c r="H979" s="509">
        <f t="shared" ref="H979:H980" si="86">IF(G979/F979*100&gt;100,100,G979/F979*100)</f>
        <v>100</v>
      </c>
      <c r="I979" s="114"/>
      <c r="J979" s="118" t="s">
        <v>171</v>
      </c>
      <c r="K979" s="116" t="s">
        <v>89</v>
      </c>
      <c r="L979" s="114" t="s">
        <v>38</v>
      </c>
      <c r="M979" s="114">
        <v>15</v>
      </c>
      <c r="N979" s="114">
        <v>15</v>
      </c>
      <c r="O979" s="115">
        <f>IF(N979/M979*100&gt;110,110,N979/M979*100)</f>
        <v>100</v>
      </c>
      <c r="P979" s="127"/>
      <c r="Q979" s="113"/>
      <c r="R979" s="114"/>
      <c r="S979" s="579"/>
      <c r="T979" s="337"/>
    </row>
    <row r="980" spans="1:20" s="212" customFormat="1" ht="40.5" customHeight="1" x14ac:dyDescent="0.35">
      <c r="A980" s="576"/>
      <c r="B980" s="600"/>
      <c r="C980" s="114" t="s">
        <v>172</v>
      </c>
      <c r="D980" s="116" t="s">
        <v>138</v>
      </c>
      <c r="E980" s="114" t="s">
        <v>25</v>
      </c>
      <c r="F980" s="114">
        <v>90</v>
      </c>
      <c r="G980" s="114">
        <v>90</v>
      </c>
      <c r="H980" s="509">
        <f t="shared" si="86"/>
        <v>100</v>
      </c>
      <c r="I980" s="114"/>
      <c r="J980" s="118"/>
      <c r="K980" s="116"/>
      <c r="L980" s="114"/>
      <c r="M980" s="119"/>
      <c r="N980" s="119"/>
      <c r="O980" s="115"/>
      <c r="P980" s="127"/>
      <c r="Q980" s="113"/>
      <c r="R980" s="114"/>
      <c r="S980" s="579"/>
      <c r="T980" s="337"/>
    </row>
    <row r="981" spans="1:20" s="331" customFormat="1" ht="40.5" customHeight="1" x14ac:dyDescent="0.35">
      <c r="A981" s="576"/>
      <c r="B981" s="600"/>
      <c r="C981" s="191"/>
      <c r="D981" s="183" t="s">
        <v>6</v>
      </c>
      <c r="E981" s="191"/>
      <c r="F981" s="184"/>
      <c r="G981" s="184"/>
      <c r="H981" s="187"/>
      <c r="I981" s="187">
        <f>H980</f>
        <v>100</v>
      </c>
      <c r="J981" s="182"/>
      <c r="K981" s="183" t="s">
        <v>6</v>
      </c>
      <c r="L981" s="184"/>
      <c r="M981" s="188"/>
      <c r="N981" s="188"/>
      <c r="O981" s="187"/>
      <c r="P981" s="187">
        <f>O979</f>
        <v>100</v>
      </c>
      <c r="Q981" s="187">
        <f>(I981+P981)/2</f>
        <v>100</v>
      </c>
      <c r="R981" s="191" t="s">
        <v>31</v>
      </c>
      <c r="S981" s="579"/>
      <c r="T981" s="337"/>
    </row>
    <row r="982" spans="1:20" s="212" customFormat="1" ht="58.5" customHeight="1" x14ac:dyDescent="0.35">
      <c r="A982" s="576"/>
      <c r="B982" s="600"/>
      <c r="C982" s="502" t="s">
        <v>207</v>
      </c>
      <c r="D982" s="146" t="s">
        <v>211</v>
      </c>
      <c r="E982" s="114"/>
      <c r="F982" s="114"/>
      <c r="G982" s="114"/>
      <c r="H982" s="113"/>
      <c r="I982" s="113"/>
      <c r="J982" s="502" t="str">
        <f>C982</f>
        <v>VII</v>
      </c>
      <c r="K982" s="146" t="str">
        <f>D982</f>
        <v>Реализация дополнительных общеразвивающих программ</v>
      </c>
      <c r="L982" s="114"/>
      <c r="M982" s="119"/>
      <c r="N982" s="119"/>
      <c r="O982" s="113"/>
      <c r="P982" s="127"/>
      <c r="Q982" s="113"/>
      <c r="R982" s="114"/>
      <c r="S982" s="579"/>
      <c r="T982" s="337"/>
    </row>
    <row r="983" spans="1:20" s="212" customFormat="1" ht="87.75" customHeight="1" x14ac:dyDescent="0.35">
      <c r="A983" s="576"/>
      <c r="B983" s="600"/>
      <c r="C983" s="114" t="s">
        <v>208</v>
      </c>
      <c r="D983" s="116" t="s">
        <v>138</v>
      </c>
      <c r="E983" s="114" t="s">
        <v>25</v>
      </c>
      <c r="F983" s="114">
        <v>90</v>
      </c>
      <c r="G983" s="114">
        <v>90</v>
      </c>
      <c r="H983" s="509">
        <f>IF(G983/F983*100&gt;100,100,G983/F983*100)</f>
        <v>100</v>
      </c>
      <c r="I983" s="114"/>
      <c r="J983" s="114" t="str">
        <f>C983</f>
        <v>7.1.</v>
      </c>
      <c r="K983" s="116" t="s">
        <v>469</v>
      </c>
      <c r="L983" s="114" t="s">
        <v>339</v>
      </c>
      <c r="M983" s="114">
        <v>10282</v>
      </c>
      <c r="N983" s="114">
        <v>10282</v>
      </c>
      <c r="O983" s="115">
        <f>IF(N983/M983*100&gt;110,110,N983/M983*100)</f>
        <v>100</v>
      </c>
      <c r="P983" s="127"/>
      <c r="Q983" s="113"/>
      <c r="R983" s="114"/>
      <c r="S983" s="579"/>
      <c r="T983" s="337"/>
    </row>
    <row r="984" spans="1:20" s="331" customFormat="1" ht="45.75" customHeight="1" x14ac:dyDescent="0.35">
      <c r="A984" s="576"/>
      <c r="B984" s="600"/>
      <c r="C984" s="184"/>
      <c r="D984" s="183" t="s">
        <v>6</v>
      </c>
      <c r="E984" s="191"/>
      <c r="F984" s="184"/>
      <c r="G984" s="184"/>
      <c r="H984" s="187"/>
      <c r="I984" s="187">
        <f>H983</f>
        <v>100</v>
      </c>
      <c r="J984" s="182"/>
      <c r="K984" s="183" t="s">
        <v>6</v>
      </c>
      <c r="L984" s="184"/>
      <c r="M984" s="188"/>
      <c r="N984" s="188"/>
      <c r="O984" s="187"/>
      <c r="P984" s="187">
        <f>O983</f>
        <v>100</v>
      </c>
      <c r="Q984" s="187">
        <f>(I984+P984)/2</f>
        <v>100</v>
      </c>
      <c r="R984" s="191" t="s">
        <v>31</v>
      </c>
      <c r="S984" s="579"/>
      <c r="T984" s="337"/>
    </row>
    <row r="985" spans="1:20" s="212" customFormat="1" ht="81" customHeight="1" x14ac:dyDescent="0.35">
      <c r="A985" s="576">
        <v>59</v>
      </c>
      <c r="B985" s="600" t="s">
        <v>159</v>
      </c>
      <c r="C985" s="502" t="s">
        <v>12</v>
      </c>
      <c r="D985" s="146" t="s">
        <v>128</v>
      </c>
      <c r="E985" s="502"/>
      <c r="F985" s="502"/>
      <c r="G985" s="502"/>
      <c r="H985" s="113"/>
      <c r="I985" s="113"/>
      <c r="J985" s="502" t="s">
        <v>12</v>
      </c>
      <c r="K985" s="146" t="s">
        <v>128</v>
      </c>
      <c r="L985" s="114"/>
      <c r="M985" s="114"/>
      <c r="N985" s="114"/>
      <c r="O985" s="113"/>
      <c r="P985" s="127"/>
      <c r="Q985" s="113"/>
      <c r="R985" s="114"/>
      <c r="S985" s="579" t="s">
        <v>280</v>
      </c>
      <c r="T985" s="211"/>
    </row>
    <row r="986" spans="1:20" s="212" customFormat="1" ht="80.25" customHeight="1" x14ac:dyDescent="0.35">
      <c r="A986" s="576"/>
      <c r="B986" s="600"/>
      <c r="C986" s="114" t="s">
        <v>7</v>
      </c>
      <c r="D986" s="116" t="s">
        <v>129</v>
      </c>
      <c r="E986" s="114" t="s">
        <v>25</v>
      </c>
      <c r="F986" s="114">
        <v>100</v>
      </c>
      <c r="G986" s="114">
        <v>100</v>
      </c>
      <c r="H986" s="509">
        <f t="shared" ref="H986:H990" si="87">IF(G986/F986*100&gt;100,100,G986/F986*100)</f>
        <v>100</v>
      </c>
      <c r="I986" s="114"/>
      <c r="J986" s="114" t="s">
        <v>7</v>
      </c>
      <c r="K986" s="116" t="s">
        <v>89</v>
      </c>
      <c r="L986" s="114" t="s">
        <v>38</v>
      </c>
      <c r="M986" s="114">
        <v>209</v>
      </c>
      <c r="N986" s="114">
        <v>205</v>
      </c>
      <c r="O986" s="115">
        <f>IF(N986/M986*100&gt;110,110,N986/M986*100)</f>
        <v>98.086124401913878</v>
      </c>
      <c r="P986" s="127"/>
      <c r="Q986" s="113"/>
      <c r="R986" s="114"/>
      <c r="S986" s="579"/>
      <c r="T986" s="211"/>
    </row>
    <row r="987" spans="1:20" s="212" customFormat="1" x14ac:dyDescent="0.35">
      <c r="A987" s="576"/>
      <c r="B987" s="600"/>
      <c r="C987" s="114" t="s">
        <v>8</v>
      </c>
      <c r="D987" s="116" t="s">
        <v>561</v>
      </c>
      <c r="E987" s="114" t="s">
        <v>25</v>
      </c>
      <c r="F987" s="114">
        <v>100</v>
      </c>
      <c r="G987" s="114">
        <v>100</v>
      </c>
      <c r="H987" s="509">
        <f t="shared" si="87"/>
        <v>100</v>
      </c>
      <c r="I987" s="114"/>
      <c r="J987" s="114"/>
      <c r="K987" s="503"/>
      <c r="L987" s="114"/>
      <c r="M987" s="117"/>
      <c r="N987" s="117"/>
      <c r="O987" s="115"/>
      <c r="P987" s="127"/>
      <c r="Q987" s="113"/>
      <c r="R987" s="114"/>
      <c r="S987" s="579"/>
      <c r="T987" s="211"/>
    </row>
    <row r="988" spans="1:20" s="212" customFormat="1" ht="42.75" customHeight="1" x14ac:dyDescent="0.35">
      <c r="A988" s="576"/>
      <c r="B988" s="600"/>
      <c r="C988" s="114" t="s">
        <v>9</v>
      </c>
      <c r="D988" s="116" t="s">
        <v>468</v>
      </c>
      <c r="E988" s="114" t="s">
        <v>389</v>
      </c>
      <c r="F988" s="114">
        <v>100</v>
      </c>
      <c r="G988" s="114">
        <v>100</v>
      </c>
      <c r="H988" s="509">
        <f t="shared" si="87"/>
        <v>100</v>
      </c>
      <c r="I988" s="114"/>
      <c r="J988" s="118"/>
      <c r="K988" s="116"/>
      <c r="L988" s="114"/>
      <c r="M988" s="119"/>
      <c r="N988" s="119"/>
      <c r="O988" s="115"/>
      <c r="P988" s="127"/>
      <c r="Q988" s="113"/>
      <c r="R988" s="114"/>
      <c r="S988" s="579"/>
      <c r="T988" s="211"/>
    </row>
    <row r="989" spans="1:20" s="212" customFormat="1" ht="61.5" customHeight="1" x14ac:dyDescent="0.35">
      <c r="A989" s="576"/>
      <c r="B989" s="600"/>
      <c r="C989" s="114" t="s">
        <v>10</v>
      </c>
      <c r="D989" s="116" t="s">
        <v>390</v>
      </c>
      <c r="E989" s="114" t="s">
        <v>25</v>
      </c>
      <c r="F989" s="114">
        <v>90</v>
      </c>
      <c r="G989" s="114">
        <v>100</v>
      </c>
      <c r="H989" s="509">
        <f t="shared" si="87"/>
        <v>100</v>
      </c>
      <c r="I989" s="114"/>
      <c r="J989" s="118"/>
      <c r="K989" s="116"/>
      <c r="L989" s="114"/>
      <c r="M989" s="119"/>
      <c r="N989" s="119"/>
      <c r="O989" s="115"/>
      <c r="P989" s="127"/>
      <c r="Q989" s="113"/>
      <c r="R989" s="114"/>
      <c r="S989" s="579"/>
      <c r="T989" s="211"/>
    </row>
    <row r="990" spans="1:20" s="212" customFormat="1" ht="126" customHeight="1" x14ac:dyDescent="0.35">
      <c r="A990" s="576"/>
      <c r="B990" s="600"/>
      <c r="C990" s="114" t="s">
        <v>35</v>
      </c>
      <c r="D990" s="116" t="s">
        <v>130</v>
      </c>
      <c r="E990" s="114" t="s">
        <v>25</v>
      </c>
      <c r="F990" s="114">
        <v>100</v>
      </c>
      <c r="G990" s="114">
        <v>100</v>
      </c>
      <c r="H990" s="509">
        <f t="shared" si="87"/>
        <v>100</v>
      </c>
      <c r="I990" s="114"/>
      <c r="J990" s="118"/>
      <c r="K990" s="116"/>
      <c r="L990" s="114"/>
      <c r="M990" s="119"/>
      <c r="N990" s="119"/>
      <c r="O990" s="115"/>
      <c r="P990" s="127"/>
      <c r="Q990" s="113"/>
      <c r="R990" s="114"/>
      <c r="S990" s="579"/>
      <c r="T990" s="211"/>
    </row>
    <row r="991" spans="1:20" s="124" customFormat="1" ht="40.5" customHeight="1" x14ac:dyDescent="0.35">
      <c r="A991" s="576"/>
      <c r="B991" s="600"/>
      <c r="C991" s="191"/>
      <c r="D991" s="183" t="s">
        <v>6</v>
      </c>
      <c r="E991" s="191"/>
      <c r="F991" s="184"/>
      <c r="G991" s="184"/>
      <c r="H991" s="187"/>
      <c r="I991" s="187">
        <f>(H986+H987+H988+H989+H990)/5</f>
        <v>100</v>
      </c>
      <c r="J991" s="182"/>
      <c r="K991" s="183" t="s">
        <v>6</v>
      </c>
      <c r="L991" s="184"/>
      <c r="M991" s="188"/>
      <c r="N991" s="188"/>
      <c r="O991" s="187"/>
      <c r="P991" s="187">
        <f>O986</f>
        <v>98.086124401913878</v>
      </c>
      <c r="Q991" s="187">
        <f>(I991+P991)/2</f>
        <v>99.043062200956939</v>
      </c>
      <c r="R991" s="191" t="s">
        <v>361</v>
      </c>
      <c r="S991" s="579"/>
      <c r="T991" s="123"/>
    </row>
    <row r="992" spans="1:20" s="212" customFormat="1" ht="65.25" customHeight="1" x14ac:dyDescent="0.35">
      <c r="A992" s="576"/>
      <c r="B992" s="600"/>
      <c r="C992" s="502" t="s">
        <v>13</v>
      </c>
      <c r="D992" s="146" t="s">
        <v>131</v>
      </c>
      <c r="E992" s="114"/>
      <c r="F992" s="114"/>
      <c r="G992" s="114"/>
      <c r="H992" s="113"/>
      <c r="I992" s="113"/>
      <c r="J992" s="502" t="s">
        <v>13</v>
      </c>
      <c r="K992" s="146" t="s">
        <v>131</v>
      </c>
      <c r="L992" s="114"/>
      <c r="M992" s="119"/>
      <c r="N992" s="119"/>
      <c r="O992" s="113"/>
      <c r="P992" s="127"/>
      <c r="Q992" s="113"/>
      <c r="R992" s="114"/>
      <c r="S992" s="579"/>
      <c r="T992" s="211"/>
    </row>
    <row r="993" spans="1:20" s="212" customFormat="1" ht="65.25" customHeight="1" x14ac:dyDescent="0.35">
      <c r="A993" s="576"/>
      <c r="B993" s="600"/>
      <c r="C993" s="114" t="s">
        <v>14</v>
      </c>
      <c r="D993" s="116" t="s">
        <v>132</v>
      </c>
      <c r="E993" s="114" t="s">
        <v>25</v>
      </c>
      <c r="F993" s="114">
        <v>100</v>
      </c>
      <c r="G993" s="114">
        <v>100</v>
      </c>
      <c r="H993" s="509">
        <f>IF(G993/F993*100&gt;100,100,G993/F993*100)</f>
        <v>100</v>
      </c>
      <c r="I993" s="114"/>
      <c r="J993" s="118" t="s">
        <v>14</v>
      </c>
      <c r="K993" s="116" t="s">
        <v>89</v>
      </c>
      <c r="L993" s="114" t="s">
        <v>38</v>
      </c>
      <c r="M993" s="114">
        <v>255</v>
      </c>
      <c r="N993" s="114">
        <v>250</v>
      </c>
      <c r="O993" s="115">
        <f>IF(N993/M993*100&gt;110,110,N993/M993*100)</f>
        <v>98.039215686274503</v>
      </c>
      <c r="P993" s="114"/>
      <c r="Q993" s="113"/>
      <c r="R993" s="114"/>
      <c r="S993" s="579"/>
      <c r="T993" s="211"/>
    </row>
    <row r="994" spans="1:20" s="212" customFormat="1" x14ac:dyDescent="0.35">
      <c r="A994" s="576"/>
      <c r="B994" s="600"/>
      <c r="C994" s="114" t="s">
        <v>15</v>
      </c>
      <c r="D994" s="116" t="s">
        <v>559</v>
      </c>
      <c r="E994" s="114" t="s">
        <v>25</v>
      </c>
      <c r="F994" s="114">
        <v>100</v>
      </c>
      <c r="G994" s="114">
        <v>100</v>
      </c>
      <c r="H994" s="509">
        <f t="shared" ref="H994:H997" si="88">IF(G994/F994*100&gt;100,100,G994/F994*100)</f>
        <v>100</v>
      </c>
      <c r="I994" s="114"/>
      <c r="J994" s="118"/>
      <c r="K994" s="116"/>
      <c r="L994" s="114"/>
      <c r="M994" s="119"/>
      <c r="N994" s="119"/>
      <c r="O994" s="115"/>
      <c r="P994" s="127"/>
      <c r="Q994" s="113"/>
      <c r="R994" s="114"/>
      <c r="S994" s="579"/>
      <c r="T994" s="211"/>
    </row>
    <row r="995" spans="1:20" s="212" customFormat="1" ht="43.5" customHeight="1" x14ac:dyDescent="0.35">
      <c r="A995" s="576"/>
      <c r="B995" s="600"/>
      <c r="C995" s="114" t="s">
        <v>39</v>
      </c>
      <c r="D995" s="116" t="s">
        <v>468</v>
      </c>
      <c r="E995" s="114" t="s">
        <v>389</v>
      </c>
      <c r="F995" s="114">
        <v>100</v>
      </c>
      <c r="G995" s="114">
        <v>100</v>
      </c>
      <c r="H995" s="509">
        <f t="shared" si="88"/>
        <v>100</v>
      </c>
      <c r="I995" s="114"/>
      <c r="J995" s="118"/>
      <c r="K995" s="116"/>
      <c r="L995" s="114"/>
      <c r="M995" s="119"/>
      <c r="N995" s="119"/>
      <c r="O995" s="115"/>
      <c r="P995" s="127"/>
      <c r="Q995" s="113"/>
      <c r="R995" s="114"/>
      <c r="S995" s="579"/>
      <c r="T995" s="211"/>
    </row>
    <row r="996" spans="1:20" s="212" customFormat="1" ht="57.75" customHeight="1" x14ac:dyDescent="0.35">
      <c r="A996" s="576"/>
      <c r="B996" s="600"/>
      <c r="C996" s="114" t="s">
        <v>45</v>
      </c>
      <c r="D996" s="116" t="s">
        <v>390</v>
      </c>
      <c r="E996" s="114" t="s">
        <v>25</v>
      </c>
      <c r="F996" s="114">
        <v>90</v>
      </c>
      <c r="G996" s="114">
        <v>100</v>
      </c>
      <c r="H996" s="509">
        <f t="shared" si="88"/>
        <v>100</v>
      </c>
      <c r="I996" s="114"/>
      <c r="J996" s="118"/>
      <c r="K996" s="116"/>
      <c r="L996" s="114"/>
      <c r="M996" s="119"/>
      <c r="N996" s="119"/>
      <c r="O996" s="115"/>
      <c r="P996" s="127"/>
      <c r="Q996" s="113"/>
      <c r="R996" s="114"/>
      <c r="S996" s="579"/>
      <c r="T996" s="211"/>
    </row>
    <row r="997" spans="1:20" s="212" customFormat="1" ht="129.75" customHeight="1" x14ac:dyDescent="0.35">
      <c r="A997" s="576"/>
      <c r="B997" s="600"/>
      <c r="C997" s="114" t="s">
        <v>66</v>
      </c>
      <c r="D997" s="116" t="s">
        <v>130</v>
      </c>
      <c r="E997" s="114" t="s">
        <v>25</v>
      </c>
      <c r="F997" s="114">
        <v>100</v>
      </c>
      <c r="G997" s="114">
        <v>100</v>
      </c>
      <c r="H997" s="509">
        <f t="shared" si="88"/>
        <v>100</v>
      </c>
      <c r="I997" s="114"/>
      <c r="J997" s="118"/>
      <c r="K997" s="116"/>
      <c r="L997" s="114"/>
      <c r="M997" s="119"/>
      <c r="N997" s="119"/>
      <c r="O997" s="115"/>
      <c r="P997" s="127"/>
      <c r="Q997" s="113"/>
      <c r="R997" s="114"/>
      <c r="S997" s="579"/>
      <c r="T997" s="211"/>
    </row>
    <row r="998" spans="1:20" s="124" customFormat="1" ht="40.5" customHeight="1" x14ac:dyDescent="0.35">
      <c r="A998" s="576"/>
      <c r="B998" s="600"/>
      <c r="C998" s="191"/>
      <c r="D998" s="183" t="s">
        <v>6</v>
      </c>
      <c r="E998" s="191"/>
      <c r="F998" s="184"/>
      <c r="G998" s="184"/>
      <c r="H998" s="187"/>
      <c r="I998" s="187">
        <f>(H993+H994+H995+H996+H997)/5</f>
        <v>100</v>
      </c>
      <c r="J998" s="182"/>
      <c r="K998" s="183" t="s">
        <v>6</v>
      </c>
      <c r="L998" s="184"/>
      <c r="M998" s="188"/>
      <c r="N998" s="188"/>
      <c r="O998" s="187"/>
      <c r="P998" s="187">
        <f>O993</f>
        <v>98.039215686274503</v>
      </c>
      <c r="Q998" s="187">
        <f>(I998+P998)/2</f>
        <v>99.019607843137251</v>
      </c>
      <c r="R998" s="191" t="s">
        <v>361</v>
      </c>
      <c r="S998" s="579"/>
      <c r="T998" s="123"/>
    </row>
    <row r="999" spans="1:20" s="212" customFormat="1" ht="66" customHeight="1" x14ac:dyDescent="0.35">
      <c r="A999" s="576"/>
      <c r="B999" s="600"/>
      <c r="C999" s="502" t="s">
        <v>28</v>
      </c>
      <c r="D999" s="146" t="s">
        <v>133</v>
      </c>
      <c r="E999" s="114"/>
      <c r="F999" s="114"/>
      <c r="G999" s="114"/>
      <c r="H999" s="113"/>
      <c r="I999" s="113"/>
      <c r="J999" s="502" t="s">
        <v>28</v>
      </c>
      <c r="K999" s="146" t="str">
        <f>D999</f>
        <v>Реализация основных общеобразовательных программ среднего общего образования</v>
      </c>
      <c r="L999" s="114"/>
      <c r="M999" s="119"/>
      <c r="N999" s="119"/>
      <c r="O999" s="113"/>
      <c r="P999" s="127"/>
      <c r="Q999" s="113"/>
      <c r="R999" s="114"/>
      <c r="S999" s="579"/>
      <c r="T999" s="211"/>
    </row>
    <row r="1000" spans="1:20" s="212" customFormat="1" ht="66" customHeight="1" x14ac:dyDescent="0.35">
      <c r="A1000" s="576"/>
      <c r="B1000" s="600"/>
      <c r="C1000" s="114" t="s">
        <v>29</v>
      </c>
      <c r="D1000" s="116" t="s">
        <v>134</v>
      </c>
      <c r="E1000" s="114" t="s">
        <v>25</v>
      </c>
      <c r="F1000" s="114">
        <v>100</v>
      </c>
      <c r="G1000" s="114">
        <v>100</v>
      </c>
      <c r="H1000" s="509">
        <f t="shared" ref="H1000:H1004" si="89">IF(G1000/F1000*100&gt;100,100,G1000/F1000*100)</f>
        <v>100</v>
      </c>
      <c r="I1000" s="114"/>
      <c r="J1000" s="118" t="s">
        <v>29</v>
      </c>
      <c r="K1000" s="116" t="s">
        <v>89</v>
      </c>
      <c r="L1000" s="114" t="s">
        <v>38</v>
      </c>
      <c r="M1000" s="114">
        <v>34</v>
      </c>
      <c r="N1000" s="114">
        <v>34</v>
      </c>
      <c r="O1000" s="115">
        <f>IF(N1000/M1000*100&gt;110,110,N1000/M1000*100)</f>
        <v>100</v>
      </c>
      <c r="P1000" s="114"/>
      <c r="Q1000" s="113"/>
      <c r="R1000" s="114"/>
      <c r="S1000" s="579"/>
      <c r="T1000" s="211"/>
    </row>
    <row r="1001" spans="1:20" s="212" customFormat="1" x14ac:dyDescent="0.35">
      <c r="A1001" s="576"/>
      <c r="B1001" s="600"/>
      <c r="C1001" s="114" t="s">
        <v>30</v>
      </c>
      <c r="D1001" s="116" t="s">
        <v>560</v>
      </c>
      <c r="E1001" s="114" t="s">
        <v>25</v>
      </c>
      <c r="F1001" s="114">
        <v>100</v>
      </c>
      <c r="G1001" s="114">
        <v>100</v>
      </c>
      <c r="H1001" s="509">
        <f t="shared" si="89"/>
        <v>100</v>
      </c>
      <c r="I1001" s="114"/>
      <c r="J1001" s="118"/>
      <c r="K1001" s="116"/>
      <c r="L1001" s="114"/>
      <c r="M1001" s="119"/>
      <c r="N1001" s="119"/>
      <c r="O1001" s="115"/>
      <c r="P1001" s="127"/>
      <c r="Q1001" s="113"/>
      <c r="R1001" s="114"/>
      <c r="S1001" s="579"/>
      <c r="T1001" s="211"/>
    </row>
    <row r="1002" spans="1:20" s="212" customFormat="1" ht="47.25" customHeight="1" x14ac:dyDescent="0.35">
      <c r="A1002" s="576"/>
      <c r="B1002" s="600"/>
      <c r="C1002" s="114" t="s">
        <v>52</v>
      </c>
      <c r="D1002" s="116" t="s">
        <v>468</v>
      </c>
      <c r="E1002" s="114" t="s">
        <v>389</v>
      </c>
      <c r="F1002" s="114">
        <v>100</v>
      </c>
      <c r="G1002" s="114">
        <v>100</v>
      </c>
      <c r="H1002" s="509">
        <f t="shared" si="89"/>
        <v>100</v>
      </c>
      <c r="I1002" s="114"/>
      <c r="J1002" s="118"/>
      <c r="K1002" s="116"/>
      <c r="L1002" s="114"/>
      <c r="M1002" s="119"/>
      <c r="N1002" s="119"/>
      <c r="O1002" s="115"/>
      <c r="P1002" s="127"/>
      <c r="Q1002" s="113"/>
      <c r="R1002" s="114"/>
      <c r="S1002" s="579"/>
      <c r="T1002" s="211"/>
    </row>
    <row r="1003" spans="1:20" s="212" customFormat="1" ht="60" customHeight="1" x14ac:dyDescent="0.35">
      <c r="A1003" s="576"/>
      <c r="B1003" s="600"/>
      <c r="C1003" s="114" t="s">
        <v>53</v>
      </c>
      <c r="D1003" s="116" t="s">
        <v>390</v>
      </c>
      <c r="E1003" s="114" t="s">
        <v>25</v>
      </c>
      <c r="F1003" s="114">
        <v>90</v>
      </c>
      <c r="G1003" s="114">
        <v>100</v>
      </c>
      <c r="H1003" s="509">
        <f t="shared" si="89"/>
        <v>100</v>
      </c>
      <c r="I1003" s="114"/>
      <c r="J1003" s="118"/>
      <c r="K1003" s="116"/>
      <c r="L1003" s="114"/>
      <c r="M1003" s="119"/>
      <c r="N1003" s="119"/>
      <c r="O1003" s="115"/>
      <c r="P1003" s="127"/>
      <c r="Q1003" s="113"/>
      <c r="R1003" s="114"/>
      <c r="S1003" s="579"/>
      <c r="T1003" s="211"/>
    </row>
    <row r="1004" spans="1:20" s="212" customFormat="1" ht="126" customHeight="1" x14ac:dyDescent="0.35">
      <c r="A1004" s="576"/>
      <c r="B1004" s="600"/>
      <c r="C1004" s="114" t="s">
        <v>135</v>
      </c>
      <c r="D1004" s="116" t="s">
        <v>130</v>
      </c>
      <c r="E1004" s="114" t="s">
        <v>25</v>
      </c>
      <c r="F1004" s="114">
        <v>100</v>
      </c>
      <c r="G1004" s="114">
        <v>100</v>
      </c>
      <c r="H1004" s="509">
        <f t="shared" si="89"/>
        <v>100</v>
      </c>
      <c r="I1004" s="114"/>
      <c r="J1004" s="118"/>
      <c r="K1004" s="116"/>
      <c r="L1004" s="114"/>
      <c r="M1004" s="119"/>
      <c r="N1004" s="119"/>
      <c r="O1004" s="115"/>
      <c r="P1004" s="127"/>
      <c r="Q1004" s="113"/>
      <c r="R1004" s="114"/>
      <c r="S1004" s="579"/>
      <c r="T1004" s="211"/>
    </row>
    <row r="1005" spans="1:20" s="124" customFormat="1" ht="40.5" customHeight="1" x14ac:dyDescent="0.35">
      <c r="A1005" s="576"/>
      <c r="B1005" s="600"/>
      <c r="C1005" s="191"/>
      <c r="D1005" s="183" t="s">
        <v>6</v>
      </c>
      <c r="E1005" s="191"/>
      <c r="F1005" s="184"/>
      <c r="G1005" s="184"/>
      <c r="H1005" s="187"/>
      <c r="I1005" s="187">
        <f>(H1000+H1001+H1002+H1003+H1004)/5</f>
        <v>100</v>
      </c>
      <c r="J1005" s="182"/>
      <c r="K1005" s="183" t="s">
        <v>6</v>
      </c>
      <c r="L1005" s="184"/>
      <c r="M1005" s="188"/>
      <c r="N1005" s="188"/>
      <c r="O1005" s="187"/>
      <c r="P1005" s="187">
        <f>O1000</f>
        <v>100</v>
      </c>
      <c r="Q1005" s="187">
        <f>(I1005+P1005)/2</f>
        <v>100</v>
      </c>
      <c r="R1005" s="191" t="s">
        <v>31</v>
      </c>
      <c r="S1005" s="579"/>
      <c r="T1005" s="123"/>
    </row>
    <row r="1006" spans="1:20" s="212" customFormat="1" x14ac:dyDescent="0.35">
      <c r="A1006" s="576"/>
      <c r="B1006" s="600"/>
      <c r="C1006" s="502" t="s">
        <v>42</v>
      </c>
      <c r="D1006" s="146" t="s">
        <v>90</v>
      </c>
      <c r="E1006" s="114"/>
      <c r="F1006" s="114"/>
      <c r="G1006" s="114"/>
      <c r="H1006" s="113"/>
      <c r="I1006" s="113"/>
      <c r="J1006" s="502" t="s">
        <v>42</v>
      </c>
      <c r="K1006" s="146" t="s">
        <v>90</v>
      </c>
      <c r="L1006" s="114"/>
      <c r="M1006" s="119"/>
      <c r="N1006" s="119"/>
      <c r="O1006" s="113"/>
      <c r="P1006" s="127"/>
      <c r="Q1006" s="113"/>
      <c r="R1006" s="114"/>
      <c r="S1006" s="579"/>
      <c r="T1006" s="211"/>
    </row>
    <row r="1007" spans="1:20" s="212" customFormat="1" ht="45.75" customHeight="1" x14ac:dyDescent="0.35">
      <c r="A1007" s="576"/>
      <c r="B1007" s="600"/>
      <c r="C1007" s="114" t="s">
        <v>43</v>
      </c>
      <c r="D1007" s="116" t="s">
        <v>136</v>
      </c>
      <c r="E1007" s="114" t="s">
        <v>25</v>
      </c>
      <c r="F1007" s="114">
        <v>100</v>
      </c>
      <c r="G1007" s="114">
        <v>100</v>
      </c>
      <c r="H1007" s="509">
        <f t="shared" ref="H1007:H1008" si="90">IF(G1007/F1007*100&gt;100,100,G1007/F1007*100)</f>
        <v>100</v>
      </c>
      <c r="I1007" s="114"/>
      <c r="J1007" s="118" t="s">
        <v>43</v>
      </c>
      <c r="K1007" s="116" t="s">
        <v>89</v>
      </c>
      <c r="L1007" s="114" t="s">
        <v>38</v>
      </c>
      <c r="M1007" s="114">
        <v>46</v>
      </c>
      <c r="N1007" s="114">
        <v>46</v>
      </c>
      <c r="O1007" s="115">
        <f>IF(N1007/M1007*100&gt;110,110,N1007/M1007*100)</f>
        <v>100</v>
      </c>
      <c r="P1007" s="127"/>
      <c r="Q1007" s="113"/>
      <c r="R1007" s="114"/>
      <c r="S1007" s="579"/>
      <c r="T1007" s="211"/>
    </row>
    <row r="1008" spans="1:20" s="212" customFormat="1" ht="78.75" customHeight="1" x14ac:dyDescent="0.35">
      <c r="A1008" s="576"/>
      <c r="B1008" s="600"/>
      <c r="C1008" s="114" t="s">
        <v>137</v>
      </c>
      <c r="D1008" s="116" t="s">
        <v>138</v>
      </c>
      <c r="E1008" s="114" t="s">
        <v>25</v>
      </c>
      <c r="F1008" s="114">
        <v>90</v>
      </c>
      <c r="G1008" s="114">
        <v>90</v>
      </c>
      <c r="H1008" s="509">
        <f t="shared" si="90"/>
        <v>100</v>
      </c>
      <c r="I1008" s="114"/>
      <c r="J1008" s="118"/>
      <c r="K1008" s="116"/>
      <c r="L1008" s="114"/>
      <c r="M1008" s="119"/>
      <c r="N1008" s="119"/>
      <c r="O1008" s="115"/>
      <c r="P1008" s="127"/>
      <c r="Q1008" s="113"/>
      <c r="R1008" s="114"/>
      <c r="S1008" s="579"/>
      <c r="T1008" s="211"/>
    </row>
    <row r="1009" spans="1:20" s="124" customFormat="1" ht="40.5" customHeight="1" x14ac:dyDescent="0.35">
      <c r="A1009" s="576"/>
      <c r="B1009" s="600"/>
      <c r="C1009" s="191"/>
      <c r="D1009" s="183" t="s">
        <v>6</v>
      </c>
      <c r="E1009" s="191"/>
      <c r="F1009" s="184"/>
      <c r="G1009" s="184"/>
      <c r="H1009" s="187"/>
      <c r="I1009" s="187">
        <f>(H1007+H1008)/2</f>
        <v>100</v>
      </c>
      <c r="J1009" s="182"/>
      <c r="K1009" s="183" t="s">
        <v>6</v>
      </c>
      <c r="L1009" s="184"/>
      <c r="M1009" s="188"/>
      <c r="N1009" s="188"/>
      <c r="O1009" s="187"/>
      <c r="P1009" s="187">
        <f>O1007</f>
        <v>100</v>
      </c>
      <c r="Q1009" s="187">
        <f>(I1009+P1009)/2</f>
        <v>100</v>
      </c>
      <c r="R1009" s="191" t="s">
        <v>31</v>
      </c>
      <c r="S1009" s="579"/>
      <c r="T1009" s="123"/>
    </row>
    <row r="1010" spans="1:20" s="212" customFormat="1" ht="64.5" customHeight="1" x14ac:dyDescent="0.35">
      <c r="A1010" s="576"/>
      <c r="B1010" s="600"/>
      <c r="C1010" s="502" t="s">
        <v>164</v>
      </c>
      <c r="D1010" s="146" t="s">
        <v>211</v>
      </c>
      <c r="E1010" s="114"/>
      <c r="F1010" s="114"/>
      <c r="G1010" s="114"/>
      <c r="H1010" s="113"/>
      <c r="I1010" s="113"/>
      <c r="J1010" s="502" t="s">
        <v>164</v>
      </c>
      <c r="K1010" s="146" t="str">
        <f>D1010</f>
        <v>Реализация дополнительных общеразвивающих программ</v>
      </c>
      <c r="L1010" s="114"/>
      <c r="M1010" s="119"/>
      <c r="N1010" s="119"/>
      <c r="O1010" s="113"/>
      <c r="P1010" s="127"/>
      <c r="Q1010" s="113"/>
      <c r="R1010" s="114"/>
      <c r="S1010" s="579"/>
      <c r="T1010" s="211"/>
    </row>
    <row r="1011" spans="1:20" s="212" customFormat="1" ht="86.25" customHeight="1" x14ac:dyDescent="0.35">
      <c r="A1011" s="576"/>
      <c r="B1011" s="600"/>
      <c r="C1011" s="114" t="s">
        <v>165</v>
      </c>
      <c r="D1011" s="116" t="s">
        <v>138</v>
      </c>
      <c r="E1011" s="114" t="s">
        <v>25</v>
      </c>
      <c r="F1011" s="114">
        <v>90</v>
      </c>
      <c r="G1011" s="114">
        <v>90</v>
      </c>
      <c r="H1011" s="509">
        <f>IF(G1011/F1011*100&gt;100,100,G1011/F1011*100)</f>
        <v>100</v>
      </c>
      <c r="I1011" s="114"/>
      <c r="J1011" s="114" t="s">
        <v>165</v>
      </c>
      <c r="K1011" s="116" t="s">
        <v>469</v>
      </c>
      <c r="L1011" s="114" t="s">
        <v>339</v>
      </c>
      <c r="M1011" s="114">
        <v>36720</v>
      </c>
      <c r="N1011" s="114">
        <v>36720</v>
      </c>
      <c r="O1011" s="115">
        <f>IF(N1011/M1011*100&gt;110,110,N1011/M1011*100)</f>
        <v>100</v>
      </c>
      <c r="P1011" s="127"/>
      <c r="Q1011" s="113"/>
      <c r="R1011" s="114"/>
      <c r="S1011" s="579"/>
      <c r="T1011" s="211"/>
    </row>
    <row r="1012" spans="1:20" s="124" customFormat="1" ht="40.5" customHeight="1" x14ac:dyDescent="0.35">
      <c r="A1012" s="576"/>
      <c r="B1012" s="600"/>
      <c r="C1012" s="191"/>
      <c r="D1012" s="183" t="s">
        <v>6</v>
      </c>
      <c r="E1012" s="191"/>
      <c r="F1012" s="184"/>
      <c r="G1012" s="184"/>
      <c r="H1012" s="187"/>
      <c r="I1012" s="187">
        <f>H1011</f>
        <v>100</v>
      </c>
      <c r="J1012" s="182"/>
      <c r="K1012" s="183" t="s">
        <v>6</v>
      </c>
      <c r="L1012" s="184"/>
      <c r="M1012" s="188"/>
      <c r="N1012" s="188"/>
      <c r="O1012" s="187"/>
      <c r="P1012" s="187">
        <f>O1011</f>
        <v>100</v>
      </c>
      <c r="Q1012" s="187">
        <f>(I1012+P1012)/2</f>
        <v>100</v>
      </c>
      <c r="R1012" s="191" t="s">
        <v>31</v>
      </c>
      <c r="S1012" s="579"/>
      <c r="T1012" s="123"/>
    </row>
    <row r="1013" spans="1:20" s="212" customFormat="1" ht="60" customHeight="1" x14ac:dyDescent="0.35">
      <c r="A1013" s="576">
        <v>60</v>
      </c>
      <c r="B1013" s="600" t="s">
        <v>160</v>
      </c>
      <c r="C1013" s="502" t="s">
        <v>12</v>
      </c>
      <c r="D1013" s="146" t="s">
        <v>128</v>
      </c>
      <c r="E1013" s="502"/>
      <c r="F1013" s="502"/>
      <c r="G1013" s="502"/>
      <c r="H1013" s="113"/>
      <c r="I1013" s="113"/>
      <c r="J1013" s="502" t="s">
        <v>12</v>
      </c>
      <c r="K1013" s="146" t="s">
        <v>128</v>
      </c>
      <c r="L1013" s="114"/>
      <c r="M1013" s="114"/>
      <c r="N1013" s="114"/>
      <c r="O1013" s="113"/>
      <c r="P1013" s="127"/>
      <c r="Q1013" s="113"/>
      <c r="R1013" s="114"/>
      <c r="S1013" s="579" t="s">
        <v>279</v>
      </c>
      <c r="T1013" s="211"/>
    </row>
    <row r="1014" spans="1:20" s="212" customFormat="1" ht="72" customHeight="1" x14ac:dyDescent="0.35">
      <c r="A1014" s="576"/>
      <c r="B1014" s="600"/>
      <c r="C1014" s="114" t="s">
        <v>7</v>
      </c>
      <c r="D1014" s="116" t="s">
        <v>129</v>
      </c>
      <c r="E1014" s="114" t="s">
        <v>25</v>
      </c>
      <c r="F1014" s="114">
        <v>100</v>
      </c>
      <c r="G1014" s="114">
        <v>100</v>
      </c>
      <c r="H1014" s="509">
        <f t="shared" ref="H1014:H1018" si="91">IF(G1014/F1014*100&gt;100,100,G1014/F1014*100)</f>
        <v>100</v>
      </c>
      <c r="I1014" s="114"/>
      <c r="J1014" s="114" t="s">
        <v>7</v>
      </c>
      <c r="K1014" s="116" t="s">
        <v>89</v>
      </c>
      <c r="L1014" s="114" t="s">
        <v>38</v>
      </c>
      <c r="M1014" s="114">
        <v>429</v>
      </c>
      <c r="N1014" s="114">
        <v>429</v>
      </c>
      <c r="O1014" s="115">
        <f>IF(N1014/M1014*100&gt;110,110,N1014/M1014*100)</f>
        <v>100</v>
      </c>
      <c r="P1014" s="127"/>
      <c r="Q1014" s="113"/>
      <c r="R1014" s="114"/>
      <c r="S1014" s="579"/>
      <c r="T1014" s="211"/>
    </row>
    <row r="1015" spans="1:20" s="212" customFormat="1" x14ac:dyDescent="0.35">
      <c r="A1015" s="576"/>
      <c r="B1015" s="600"/>
      <c r="C1015" s="114" t="s">
        <v>8</v>
      </c>
      <c r="D1015" s="116" t="s">
        <v>561</v>
      </c>
      <c r="E1015" s="114" t="s">
        <v>25</v>
      </c>
      <c r="F1015" s="114">
        <v>100</v>
      </c>
      <c r="G1015" s="114">
        <v>100</v>
      </c>
      <c r="H1015" s="509">
        <f t="shared" si="91"/>
        <v>100</v>
      </c>
      <c r="I1015" s="114"/>
      <c r="J1015" s="114"/>
      <c r="K1015" s="503"/>
      <c r="L1015" s="114"/>
      <c r="M1015" s="117"/>
      <c r="N1015" s="117"/>
      <c r="O1015" s="115"/>
      <c r="P1015" s="127"/>
      <c r="Q1015" s="113"/>
      <c r="R1015" s="114"/>
      <c r="S1015" s="579"/>
      <c r="T1015" s="211"/>
    </row>
    <row r="1016" spans="1:20" s="212" customFormat="1" ht="43.5" customHeight="1" x14ac:dyDescent="0.35">
      <c r="A1016" s="576"/>
      <c r="B1016" s="600"/>
      <c r="C1016" s="114" t="s">
        <v>9</v>
      </c>
      <c r="D1016" s="116" t="s">
        <v>468</v>
      </c>
      <c r="E1016" s="114" t="s">
        <v>389</v>
      </c>
      <c r="F1016" s="114">
        <v>100</v>
      </c>
      <c r="G1016" s="114">
        <v>100</v>
      </c>
      <c r="H1016" s="509">
        <f t="shared" si="91"/>
        <v>100</v>
      </c>
      <c r="I1016" s="114"/>
      <c r="J1016" s="118"/>
      <c r="K1016" s="116"/>
      <c r="L1016" s="114"/>
      <c r="M1016" s="119"/>
      <c r="N1016" s="119"/>
      <c r="O1016" s="115"/>
      <c r="P1016" s="127"/>
      <c r="Q1016" s="113"/>
      <c r="R1016" s="114"/>
      <c r="S1016" s="579"/>
      <c r="T1016" s="211"/>
    </row>
    <row r="1017" spans="1:20" s="212" customFormat="1" ht="61.5" customHeight="1" x14ac:dyDescent="0.35">
      <c r="A1017" s="576"/>
      <c r="B1017" s="600"/>
      <c r="C1017" s="114" t="s">
        <v>10</v>
      </c>
      <c r="D1017" s="116" t="s">
        <v>390</v>
      </c>
      <c r="E1017" s="114" t="s">
        <v>25</v>
      </c>
      <c r="F1017" s="114">
        <v>90</v>
      </c>
      <c r="G1017" s="114">
        <v>90</v>
      </c>
      <c r="H1017" s="509">
        <f t="shared" si="91"/>
        <v>100</v>
      </c>
      <c r="I1017" s="114"/>
      <c r="J1017" s="118"/>
      <c r="K1017" s="116"/>
      <c r="L1017" s="114"/>
      <c r="M1017" s="119"/>
      <c r="N1017" s="119"/>
      <c r="O1017" s="115"/>
      <c r="P1017" s="127"/>
      <c r="Q1017" s="113"/>
      <c r="R1017" s="114"/>
      <c r="S1017" s="579"/>
      <c r="T1017" s="211"/>
    </row>
    <row r="1018" spans="1:20" s="212" customFormat="1" ht="121.5" customHeight="1" x14ac:dyDescent="0.35">
      <c r="A1018" s="576"/>
      <c r="B1018" s="600"/>
      <c r="C1018" s="114" t="s">
        <v>35</v>
      </c>
      <c r="D1018" s="116" t="s">
        <v>130</v>
      </c>
      <c r="E1018" s="114" t="s">
        <v>25</v>
      </c>
      <c r="F1018" s="114">
        <v>100</v>
      </c>
      <c r="G1018" s="114">
        <v>100</v>
      </c>
      <c r="H1018" s="509">
        <f t="shared" si="91"/>
        <v>100</v>
      </c>
      <c r="I1018" s="114"/>
      <c r="J1018" s="118"/>
      <c r="K1018" s="116"/>
      <c r="L1018" s="114"/>
      <c r="M1018" s="119"/>
      <c r="N1018" s="119"/>
      <c r="O1018" s="115"/>
      <c r="P1018" s="127"/>
      <c r="Q1018" s="113"/>
      <c r="R1018" s="114"/>
      <c r="S1018" s="579"/>
      <c r="T1018" s="211"/>
    </row>
    <row r="1019" spans="1:20" s="124" customFormat="1" ht="40.5" customHeight="1" x14ac:dyDescent="0.35">
      <c r="A1019" s="576"/>
      <c r="B1019" s="600"/>
      <c r="C1019" s="191"/>
      <c r="D1019" s="183" t="s">
        <v>6</v>
      </c>
      <c r="E1019" s="191"/>
      <c r="F1019" s="184"/>
      <c r="G1019" s="184"/>
      <c r="H1019" s="187"/>
      <c r="I1019" s="187">
        <f>(H1014+H1015+H1016+H1017+H1018)/5</f>
        <v>100</v>
      </c>
      <c r="J1019" s="182"/>
      <c r="K1019" s="183" t="s">
        <v>6</v>
      </c>
      <c r="L1019" s="184"/>
      <c r="M1019" s="188"/>
      <c r="N1019" s="188"/>
      <c r="O1019" s="187"/>
      <c r="P1019" s="187">
        <f>O1014</f>
        <v>100</v>
      </c>
      <c r="Q1019" s="187">
        <f>(I1019+P1019)/2</f>
        <v>100</v>
      </c>
      <c r="R1019" s="191" t="s">
        <v>31</v>
      </c>
      <c r="S1019" s="579"/>
      <c r="T1019" s="123"/>
    </row>
    <row r="1020" spans="1:20" s="212" customFormat="1" ht="81.75" customHeight="1" x14ac:dyDescent="0.35">
      <c r="A1020" s="576"/>
      <c r="B1020" s="600"/>
      <c r="C1020" s="502" t="s">
        <v>13</v>
      </c>
      <c r="D1020" s="146" t="s">
        <v>131</v>
      </c>
      <c r="E1020" s="114"/>
      <c r="F1020" s="114"/>
      <c r="G1020" s="114"/>
      <c r="H1020" s="113"/>
      <c r="I1020" s="113"/>
      <c r="J1020" s="502" t="s">
        <v>13</v>
      </c>
      <c r="K1020" s="146" t="s">
        <v>131</v>
      </c>
      <c r="L1020" s="114"/>
      <c r="M1020" s="119"/>
      <c r="N1020" s="119"/>
      <c r="O1020" s="113"/>
      <c r="P1020" s="127"/>
      <c r="Q1020" s="113"/>
      <c r="R1020" s="114"/>
      <c r="S1020" s="579"/>
      <c r="T1020" s="211"/>
    </row>
    <row r="1021" spans="1:20" s="212" customFormat="1" ht="73.5" customHeight="1" x14ac:dyDescent="0.35">
      <c r="A1021" s="576"/>
      <c r="B1021" s="600"/>
      <c r="C1021" s="114" t="s">
        <v>14</v>
      </c>
      <c r="D1021" s="116" t="s">
        <v>132</v>
      </c>
      <c r="E1021" s="114" t="s">
        <v>25</v>
      </c>
      <c r="F1021" s="114">
        <v>100</v>
      </c>
      <c r="G1021" s="114">
        <v>100</v>
      </c>
      <c r="H1021" s="509">
        <f t="shared" ref="H1021:H1025" si="92">IF(G1021/F1021*100&gt;100,100,G1021/F1021*100)</f>
        <v>100</v>
      </c>
      <c r="I1021" s="114"/>
      <c r="J1021" s="118" t="s">
        <v>14</v>
      </c>
      <c r="K1021" s="116" t="s">
        <v>89</v>
      </c>
      <c r="L1021" s="114" t="s">
        <v>38</v>
      </c>
      <c r="M1021" s="114">
        <v>529</v>
      </c>
      <c r="N1021" s="114">
        <v>529</v>
      </c>
      <c r="O1021" s="115">
        <f>IF(N1021/M1021*100&gt;110,110,N1021/M1021*100)</f>
        <v>100</v>
      </c>
      <c r="P1021" s="114"/>
      <c r="Q1021" s="113"/>
      <c r="R1021" s="114"/>
      <c r="S1021" s="579"/>
      <c r="T1021" s="211"/>
    </row>
    <row r="1022" spans="1:20" s="212" customFormat="1" x14ac:dyDescent="0.35">
      <c r="A1022" s="576"/>
      <c r="B1022" s="600"/>
      <c r="C1022" s="114" t="s">
        <v>15</v>
      </c>
      <c r="D1022" s="116" t="s">
        <v>559</v>
      </c>
      <c r="E1022" s="114" t="s">
        <v>25</v>
      </c>
      <c r="F1022" s="114">
        <v>100</v>
      </c>
      <c r="G1022" s="114">
        <v>100</v>
      </c>
      <c r="H1022" s="509">
        <f t="shared" si="92"/>
        <v>100</v>
      </c>
      <c r="I1022" s="114"/>
      <c r="J1022" s="118"/>
      <c r="K1022" s="116"/>
      <c r="L1022" s="114"/>
      <c r="M1022" s="119"/>
      <c r="N1022" s="119"/>
      <c r="O1022" s="115"/>
      <c r="P1022" s="127"/>
      <c r="Q1022" s="113"/>
      <c r="R1022" s="114"/>
      <c r="S1022" s="579"/>
      <c r="T1022" s="211"/>
    </row>
    <row r="1023" spans="1:20" s="212" customFormat="1" ht="46.5" x14ac:dyDescent="0.35">
      <c r="A1023" s="576"/>
      <c r="B1023" s="600"/>
      <c r="C1023" s="114" t="s">
        <v>39</v>
      </c>
      <c r="D1023" s="116" t="s">
        <v>468</v>
      </c>
      <c r="E1023" s="114" t="s">
        <v>389</v>
      </c>
      <c r="F1023" s="114">
        <v>100</v>
      </c>
      <c r="G1023" s="114">
        <v>100</v>
      </c>
      <c r="H1023" s="509">
        <f t="shared" si="92"/>
        <v>100</v>
      </c>
      <c r="I1023" s="114"/>
      <c r="J1023" s="118"/>
      <c r="K1023" s="116"/>
      <c r="L1023" s="114"/>
      <c r="M1023" s="119"/>
      <c r="N1023" s="119"/>
      <c r="O1023" s="115"/>
      <c r="P1023" s="127"/>
      <c r="Q1023" s="113"/>
      <c r="R1023" s="114"/>
      <c r="S1023" s="579"/>
      <c r="T1023" s="211"/>
    </row>
    <row r="1024" spans="1:20" s="212" customFormat="1" ht="55.5" customHeight="1" x14ac:dyDescent="0.35">
      <c r="A1024" s="576"/>
      <c r="B1024" s="600"/>
      <c r="C1024" s="114" t="s">
        <v>45</v>
      </c>
      <c r="D1024" s="116" t="s">
        <v>390</v>
      </c>
      <c r="E1024" s="114" t="s">
        <v>25</v>
      </c>
      <c r="F1024" s="114">
        <v>90</v>
      </c>
      <c r="G1024" s="114">
        <v>90</v>
      </c>
      <c r="H1024" s="509">
        <f t="shared" si="92"/>
        <v>100</v>
      </c>
      <c r="I1024" s="114"/>
      <c r="J1024" s="118"/>
      <c r="K1024" s="116"/>
      <c r="L1024" s="114"/>
      <c r="M1024" s="119"/>
      <c r="N1024" s="119"/>
      <c r="O1024" s="115"/>
      <c r="P1024" s="127"/>
      <c r="Q1024" s="113"/>
      <c r="R1024" s="114"/>
      <c r="S1024" s="579"/>
      <c r="T1024" s="211"/>
    </row>
    <row r="1025" spans="1:20" s="212" customFormat="1" ht="120.75" customHeight="1" x14ac:dyDescent="0.35">
      <c r="A1025" s="576"/>
      <c r="B1025" s="600"/>
      <c r="C1025" s="114" t="s">
        <v>66</v>
      </c>
      <c r="D1025" s="116" t="s">
        <v>130</v>
      </c>
      <c r="E1025" s="114" t="s">
        <v>25</v>
      </c>
      <c r="F1025" s="114">
        <v>100</v>
      </c>
      <c r="G1025" s="114">
        <v>100</v>
      </c>
      <c r="H1025" s="509">
        <f t="shared" si="92"/>
        <v>100</v>
      </c>
      <c r="I1025" s="114"/>
      <c r="J1025" s="118"/>
      <c r="K1025" s="116"/>
      <c r="L1025" s="114"/>
      <c r="M1025" s="119"/>
      <c r="N1025" s="119"/>
      <c r="O1025" s="115"/>
      <c r="P1025" s="127"/>
      <c r="Q1025" s="113"/>
      <c r="R1025" s="114"/>
      <c r="S1025" s="579"/>
      <c r="T1025" s="211"/>
    </row>
    <row r="1026" spans="1:20" s="124" customFormat="1" ht="40.5" customHeight="1" x14ac:dyDescent="0.35">
      <c r="A1026" s="576"/>
      <c r="B1026" s="600"/>
      <c r="C1026" s="191"/>
      <c r="D1026" s="183" t="s">
        <v>6</v>
      </c>
      <c r="E1026" s="191"/>
      <c r="F1026" s="184"/>
      <c r="G1026" s="184"/>
      <c r="H1026" s="187"/>
      <c r="I1026" s="187">
        <f>(H1021+H1022+H1023+H1024+H1025)/5</f>
        <v>100</v>
      </c>
      <c r="J1026" s="182"/>
      <c r="K1026" s="183" t="s">
        <v>6</v>
      </c>
      <c r="L1026" s="184"/>
      <c r="M1026" s="188"/>
      <c r="N1026" s="188"/>
      <c r="O1026" s="187"/>
      <c r="P1026" s="187">
        <f>O1021</f>
        <v>100</v>
      </c>
      <c r="Q1026" s="187">
        <f>(I1026+P1026)/2</f>
        <v>100</v>
      </c>
      <c r="R1026" s="191" t="s">
        <v>31</v>
      </c>
      <c r="S1026" s="579"/>
      <c r="T1026" s="123"/>
    </row>
    <row r="1027" spans="1:20" s="212" customFormat="1" ht="79.5" customHeight="1" x14ac:dyDescent="0.35">
      <c r="A1027" s="576"/>
      <c r="B1027" s="600"/>
      <c r="C1027" s="502" t="s">
        <v>28</v>
      </c>
      <c r="D1027" s="146" t="s">
        <v>133</v>
      </c>
      <c r="E1027" s="114"/>
      <c r="F1027" s="114"/>
      <c r="G1027" s="114"/>
      <c r="H1027" s="113"/>
      <c r="I1027" s="113"/>
      <c r="J1027" s="502" t="s">
        <v>28</v>
      </c>
      <c r="K1027" s="146" t="str">
        <f>D1027</f>
        <v>Реализация основных общеобразовательных программ среднего общего образования</v>
      </c>
      <c r="L1027" s="114"/>
      <c r="M1027" s="119"/>
      <c r="N1027" s="119"/>
      <c r="O1027" s="113"/>
      <c r="P1027" s="127"/>
      <c r="Q1027" s="113"/>
      <c r="R1027" s="114"/>
      <c r="S1027" s="579"/>
      <c r="T1027" s="211"/>
    </row>
    <row r="1028" spans="1:20" s="212" customFormat="1" ht="72.75" customHeight="1" x14ac:dyDescent="0.35">
      <c r="A1028" s="576"/>
      <c r="B1028" s="600"/>
      <c r="C1028" s="114" t="s">
        <v>29</v>
      </c>
      <c r="D1028" s="116" t="s">
        <v>134</v>
      </c>
      <c r="E1028" s="114" t="s">
        <v>25</v>
      </c>
      <c r="F1028" s="114">
        <v>100</v>
      </c>
      <c r="G1028" s="114">
        <v>100</v>
      </c>
      <c r="H1028" s="509">
        <f t="shared" ref="H1028:H1032" si="93">IF(G1028/F1028*100&gt;100,100,G1028/F1028*100)</f>
        <v>100</v>
      </c>
      <c r="I1028" s="114"/>
      <c r="J1028" s="118" t="s">
        <v>29</v>
      </c>
      <c r="K1028" s="116" t="s">
        <v>89</v>
      </c>
      <c r="L1028" s="114" t="s">
        <v>38</v>
      </c>
      <c r="M1028" s="114">
        <v>89</v>
      </c>
      <c r="N1028" s="114">
        <v>89</v>
      </c>
      <c r="O1028" s="115">
        <f>IF(N1028/M1028*100&gt;110,110,N1028/M1028*100)</f>
        <v>100</v>
      </c>
      <c r="P1028" s="114"/>
      <c r="Q1028" s="113"/>
      <c r="R1028" s="114"/>
      <c r="S1028" s="579"/>
      <c r="T1028" s="211"/>
    </row>
    <row r="1029" spans="1:20" s="212" customFormat="1" x14ac:dyDescent="0.35">
      <c r="A1029" s="576"/>
      <c r="B1029" s="600"/>
      <c r="C1029" s="114" t="s">
        <v>30</v>
      </c>
      <c r="D1029" s="116" t="s">
        <v>560</v>
      </c>
      <c r="E1029" s="114" t="s">
        <v>25</v>
      </c>
      <c r="F1029" s="114">
        <v>100</v>
      </c>
      <c r="G1029" s="114">
        <v>100</v>
      </c>
      <c r="H1029" s="509">
        <f t="shared" si="93"/>
        <v>100</v>
      </c>
      <c r="I1029" s="114"/>
      <c r="J1029" s="118"/>
      <c r="K1029" s="116"/>
      <c r="L1029" s="114"/>
      <c r="M1029" s="119"/>
      <c r="N1029" s="119"/>
      <c r="O1029" s="115"/>
      <c r="P1029" s="127"/>
      <c r="Q1029" s="113"/>
      <c r="R1029" s="114"/>
      <c r="S1029" s="579"/>
      <c r="T1029" s="211"/>
    </row>
    <row r="1030" spans="1:20" s="212" customFormat="1" ht="41.25" customHeight="1" x14ac:dyDescent="0.35">
      <c r="A1030" s="576"/>
      <c r="B1030" s="600"/>
      <c r="C1030" s="114" t="s">
        <v>52</v>
      </c>
      <c r="D1030" s="116" t="s">
        <v>468</v>
      </c>
      <c r="E1030" s="114" t="s">
        <v>389</v>
      </c>
      <c r="F1030" s="114">
        <v>100</v>
      </c>
      <c r="G1030" s="114">
        <v>100</v>
      </c>
      <c r="H1030" s="509">
        <f t="shared" si="93"/>
        <v>100</v>
      </c>
      <c r="I1030" s="114"/>
      <c r="J1030" s="118"/>
      <c r="K1030" s="116"/>
      <c r="L1030" s="114"/>
      <c r="M1030" s="119"/>
      <c r="N1030" s="119"/>
      <c r="O1030" s="115"/>
      <c r="P1030" s="127"/>
      <c r="Q1030" s="113"/>
      <c r="R1030" s="114"/>
      <c r="S1030" s="579"/>
      <c r="T1030" s="211"/>
    </row>
    <row r="1031" spans="1:20" s="212" customFormat="1" ht="61.5" customHeight="1" x14ac:dyDescent="0.35">
      <c r="A1031" s="576"/>
      <c r="B1031" s="600"/>
      <c r="C1031" s="114" t="s">
        <v>53</v>
      </c>
      <c r="D1031" s="116" t="s">
        <v>390</v>
      </c>
      <c r="E1031" s="114" t="s">
        <v>25</v>
      </c>
      <c r="F1031" s="114">
        <v>90</v>
      </c>
      <c r="G1031" s="114">
        <v>90</v>
      </c>
      <c r="H1031" s="509">
        <f t="shared" si="93"/>
        <v>100</v>
      </c>
      <c r="I1031" s="114"/>
      <c r="J1031" s="118"/>
      <c r="K1031" s="116"/>
      <c r="L1031" s="114"/>
      <c r="M1031" s="119"/>
      <c r="N1031" s="119"/>
      <c r="O1031" s="115"/>
      <c r="P1031" s="127"/>
      <c r="Q1031" s="113"/>
      <c r="R1031" s="114"/>
      <c r="S1031" s="579"/>
      <c r="T1031" s="211"/>
    </row>
    <row r="1032" spans="1:20" s="212" customFormat="1" ht="128.25" customHeight="1" x14ac:dyDescent="0.35">
      <c r="A1032" s="576"/>
      <c r="B1032" s="600"/>
      <c r="C1032" s="114" t="s">
        <v>135</v>
      </c>
      <c r="D1032" s="116" t="s">
        <v>130</v>
      </c>
      <c r="E1032" s="114" t="s">
        <v>25</v>
      </c>
      <c r="F1032" s="114">
        <v>100</v>
      </c>
      <c r="G1032" s="114">
        <v>100</v>
      </c>
      <c r="H1032" s="509">
        <f t="shared" si="93"/>
        <v>100</v>
      </c>
      <c r="I1032" s="114"/>
      <c r="J1032" s="118"/>
      <c r="K1032" s="116"/>
      <c r="L1032" s="114"/>
      <c r="M1032" s="119"/>
      <c r="N1032" s="119"/>
      <c r="O1032" s="115"/>
      <c r="P1032" s="127"/>
      <c r="Q1032" s="113"/>
      <c r="R1032" s="114"/>
      <c r="S1032" s="579"/>
      <c r="T1032" s="211"/>
    </row>
    <row r="1033" spans="1:20" s="124" customFormat="1" ht="40.5" customHeight="1" x14ac:dyDescent="0.35">
      <c r="A1033" s="576"/>
      <c r="B1033" s="600"/>
      <c r="C1033" s="191"/>
      <c r="D1033" s="183" t="s">
        <v>6</v>
      </c>
      <c r="E1033" s="191"/>
      <c r="F1033" s="184"/>
      <c r="G1033" s="184"/>
      <c r="H1033" s="187"/>
      <c r="I1033" s="187">
        <f>(H1028+H1029+H1030+H1031+H1032)/5</f>
        <v>100</v>
      </c>
      <c r="J1033" s="182"/>
      <c r="K1033" s="183" t="s">
        <v>6</v>
      </c>
      <c r="L1033" s="184"/>
      <c r="M1033" s="188"/>
      <c r="N1033" s="188"/>
      <c r="O1033" s="187"/>
      <c r="P1033" s="187">
        <f>O1028</f>
        <v>100</v>
      </c>
      <c r="Q1033" s="187">
        <f>(I1033+P1033)/2</f>
        <v>100</v>
      </c>
      <c r="R1033" s="191" t="s">
        <v>31</v>
      </c>
      <c r="S1033" s="579"/>
      <c r="T1033" s="123"/>
    </row>
    <row r="1034" spans="1:20" s="212" customFormat="1" x14ac:dyDescent="0.35">
      <c r="A1034" s="576"/>
      <c r="B1034" s="600"/>
      <c r="C1034" s="502" t="s">
        <v>42</v>
      </c>
      <c r="D1034" s="146" t="s">
        <v>90</v>
      </c>
      <c r="E1034" s="114"/>
      <c r="F1034" s="114"/>
      <c r="G1034" s="114"/>
      <c r="H1034" s="113"/>
      <c r="I1034" s="113"/>
      <c r="J1034" s="502" t="s">
        <v>42</v>
      </c>
      <c r="K1034" s="146" t="s">
        <v>90</v>
      </c>
      <c r="L1034" s="114"/>
      <c r="M1034" s="119"/>
      <c r="N1034" s="119"/>
      <c r="O1034" s="113"/>
      <c r="P1034" s="127"/>
      <c r="Q1034" s="113"/>
      <c r="R1034" s="114"/>
      <c r="S1034" s="579"/>
      <c r="T1034" s="211"/>
    </row>
    <row r="1035" spans="1:20" s="212" customFormat="1" ht="45.75" customHeight="1" x14ac:dyDescent="0.35">
      <c r="A1035" s="576"/>
      <c r="B1035" s="600"/>
      <c r="C1035" s="114" t="s">
        <v>43</v>
      </c>
      <c r="D1035" s="116" t="s">
        <v>136</v>
      </c>
      <c r="E1035" s="114" t="s">
        <v>25</v>
      </c>
      <c r="F1035" s="114">
        <v>100</v>
      </c>
      <c r="G1035" s="114">
        <v>100</v>
      </c>
      <c r="H1035" s="509">
        <f t="shared" ref="H1035:H1036" si="94">IF(G1035/F1035*100&gt;100,100,G1035/F1035*100)</f>
        <v>100</v>
      </c>
      <c r="I1035" s="114"/>
      <c r="J1035" s="118" t="s">
        <v>43</v>
      </c>
      <c r="K1035" s="116" t="s">
        <v>336</v>
      </c>
      <c r="L1035" s="114" t="s">
        <v>38</v>
      </c>
      <c r="M1035" s="114">
        <v>420</v>
      </c>
      <c r="N1035" s="114">
        <v>426</v>
      </c>
      <c r="O1035" s="115">
        <f>IF(N1035/M1035*100&gt;110,110,N1035/M1035*100)</f>
        <v>101.42857142857142</v>
      </c>
      <c r="P1035" s="127"/>
      <c r="Q1035" s="113"/>
      <c r="R1035" s="114"/>
      <c r="S1035" s="579"/>
      <c r="T1035" s="211"/>
    </row>
    <row r="1036" spans="1:20" s="212" customFormat="1" ht="81.75" customHeight="1" x14ac:dyDescent="0.35">
      <c r="A1036" s="576"/>
      <c r="B1036" s="600"/>
      <c r="C1036" s="114" t="s">
        <v>137</v>
      </c>
      <c r="D1036" s="116" t="s">
        <v>138</v>
      </c>
      <c r="E1036" s="114" t="s">
        <v>25</v>
      </c>
      <c r="F1036" s="114">
        <v>90</v>
      </c>
      <c r="G1036" s="114">
        <v>90</v>
      </c>
      <c r="H1036" s="509">
        <f t="shared" si="94"/>
        <v>100</v>
      </c>
      <c r="I1036" s="114"/>
      <c r="J1036" s="118"/>
      <c r="K1036" s="116"/>
      <c r="L1036" s="114"/>
      <c r="M1036" s="119"/>
      <c r="N1036" s="119"/>
      <c r="O1036" s="115"/>
      <c r="P1036" s="127"/>
      <c r="Q1036" s="113"/>
      <c r="R1036" s="114"/>
      <c r="S1036" s="579"/>
      <c r="T1036" s="211"/>
    </row>
    <row r="1037" spans="1:20" s="124" customFormat="1" ht="40.5" customHeight="1" x14ac:dyDescent="0.35">
      <c r="A1037" s="576"/>
      <c r="B1037" s="600"/>
      <c r="C1037" s="191"/>
      <c r="D1037" s="183" t="s">
        <v>6</v>
      </c>
      <c r="E1037" s="191"/>
      <c r="F1037" s="184"/>
      <c r="G1037" s="184"/>
      <c r="H1037" s="187"/>
      <c r="I1037" s="187">
        <f>(H1035+H1036)/2</f>
        <v>100</v>
      </c>
      <c r="J1037" s="182"/>
      <c r="K1037" s="183" t="s">
        <v>6</v>
      </c>
      <c r="L1037" s="184"/>
      <c r="M1037" s="188"/>
      <c r="N1037" s="188"/>
      <c r="O1037" s="187"/>
      <c r="P1037" s="187">
        <f>O1035</f>
        <v>101.42857142857142</v>
      </c>
      <c r="Q1037" s="187">
        <f>(I1037+P1037)/2</f>
        <v>100.71428571428571</v>
      </c>
      <c r="R1037" s="191" t="s">
        <v>31</v>
      </c>
      <c r="S1037" s="579"/>
      <c r="T1037" s="123"/>
    </row>
    <row r="1038" spans="1:20" s="212" customFormat="1" ht="83.25" customHeight="1" x14ac:dyDescent="0.35">
      <c r="A1038" s="576"/>
      <c r="B1038" s="600"/>
      <c r="C1038" s="502" t="s">
        <v>164</v>
      </c>
      <c r="D1038" s="146" t="s">
        <v>211</v>
      </c>
      <c r="E1038" s="114"/>
      <c r="F1038" s="114"/>
      <c r="G1038" s="114"/>
      <c r="H1038" s="113"/>
      <c r="I1038" s="113"/>
      <c r="J1038" s="502" t="s">
        <v>164</v>
      </c>
      <c r="K1038" s="146" t="str">
        <f>D1038</f>
        <v>Реализация дополнительных общеразвивающих программ</v>
      </c>
      <c r="L1038" s="114"/>
      <c r="M1038" s="119"/>
      <c r="N1038" s="119"/>
      <c r="O1038" s="113"/>
      <c r="P1038" s="127"/>
      <c r="Q1038" s="113"/>
      <c r="R1038" s="114"/>
      <c r="S1038" s="579"/>
      <c r="T1038" s="211"/>
    </row>
    <row r="1039" spans="1:20" s="212" customFormat="1" ht="83.25" customHeight="1" x14ac:dyDescent="0.35">
      <c r="A1039" s="576"/>
      <c r="B1039" s="600"/>
      <c r="C1039" s="114" t="s">
        <v>165</v>
      </c>
      <c r="D1039" s="116" t="s">
        <v>138</v>
      </c>
      <c r="E1039" s="114" t="s">
        <v>25</v>
      </c>
      <c r="F1039" s="114">
        <v>90</v>
      </c>
      <c r="G1039" s="114">
        <v>90</v>
      </c>
      <c r="H1039" s="509">
        <f>IF(G1039/F1039*100&gt;100,100,G1039/F1039*100)</f>
        <v>100</v>
      </c>
      <c r="I1039" s="114"/>
      <c r="J1039" s="114" t="s">
        <v>165</v>
      </c>
      <c r="K1039" s="116" t="s">
        <v>469</v>
      </c>
      <c r="L1039" s="114" t="s">
        <v>339</v>
      </c>
      <c r="M1039" s="114">
        <v>110025</v>
      </c>
      <c r="N1039" s="114">
        <v>110025</v>
      </c>
      <c r="O1039" s="115">
        <f>IF(N1039/M1039*100&gt;110,110,N1039/M1039*100)</f>
        <v>100</v>
      </c>
      <c r="P1039" s="127"/>
      <c r="Q1039" s="113"/>
      <c r="R1039" s="114"/>
      <c r="S1039" s="579"/>
      <c r="T1039" s="211"/>
    </row>
    <row r="1040" spans="1:20" s="124" customFormat="1" ht="39" customHeight="1" x14ac:dyDescent="0.35">
      <c r="A1040" s="576"/>
      <c r="B1040" s="600"/>
      <c r="C1040" s="191"/>
      <c r="D1040" s="183" t="s">
        <v>6</v>
      </c>
      <c r="E1040" s="191"/>
      <c r="F1040" s="184"/>
      <c r="G1040" s="184"/>
      <c r="H1040" s="187"/>
      <c r="I1040" s="187">
        <f>H1039</f>
        <v>100</v>
      </c>
      <c r="J1040" s="182"/>
      <c r="K1040" s="183" t="s">
        <v>6</v>
      </c>
      <c r="L1040" s="184"/>
      <c r="M1040" s="188"/>
      <c r="N1040" s="188"/>
      <c r="O1040" s="187"/>
      <c r="P1040" s="187">
        <f>O1039</f>
        <v>100</v>
      </c>
      <c r="Q1040" s="187">
        <f>(I1040+P1040)/2</f>
        <v>100</v>
      </c>
      <c r="R1040" s="191" t="s">
        <v>31</v>
      </c>
      <c r="S1040" s="579"/>
      <c r="T1040" s="123"/>
    </row>
    <row r="1041" spans="1:20" s="212" customFormat="1" ht="61.5" customHeight="1" x14ac:dyDescent="0.35">
      <c r="A1041" s="576">
        <v>61</v>
      </c>
      <c r="B1041" s="600" t="s">
        <v>173</v>
      </c>
      <c r="C1041" s="502" t="s">
        <v>12</v>
      </c>
      <c r="D1041" s="146" t="s">
        <v>128</v>
      </c>
      <c r="E1041" s="502"/>
      <c r="F1041" s="502"/>
      <c r="G1041" s="502"/>
      <c r="H1041" s="113"/>
      <c r="I1041" s="113"/>
      <c r="J1041" s="502" t="s">
        <v>12</v>
      </c>
      <c r="K1041" s="146" t="s">
        <v>128</v>
      </c>
      <c r="L1041" s="114"/>
      <c r="M1041" s="114"/>
      <c r="N1041" s="114"/>
      <c r="O1041" s="113"/>
      <c r="P1041" s="127"/>
      <c r="Q1041" s="113"/>
      <c r="R1041" s="114"/>
      <c r="S1041" s="579" t="s">
        <v>280</v>
      </c>
      <c r="T1041" s="211"/>
    </row>
    <row r="1042" spans="1:20" s="212" customFormat="1" ht="79.5" customHeight="1" x14ac:dyDescent="0.35">
      <c r="A1042" s="576"/>
      <c r="B1042" s="600"/>
      <c r="C1042" s="114" t="s">
        <v>7</v>
      </c>
      <c r="D1042" s="116" t="s">
        <v>129</v>
      </c>
      <c r="E1042" s="114" t="s">
        <v>25</v>
      </c>
      <c r="F1042" s="114">
        <v>100</v>
      </c>
      <c r="G1042" s="114">
        <v>100</v>
      </c>
      <c r="H1042" s="509">
        <f t="shared" ref="H1042:H1046" si="95">IF(G1042/F1042*100&gt;100,100,G1042/F1042*100)</f>
        <v>100</v>
      </c>
      <c r="I1042" s="114"/>
      <c r="J1042" s="114" t="s">
        <v>7</v>
      </c>
      <c r="K1042" s="116" t="s">
        <v>89</v>
      </c>
      <c r="L1042" s="114" t="s">
        <v>38</v>
      </c>
      <c r="M1042" s="114">
        <v>258</v>
      </c>
      <c r="N1042" s="114">
        <v>257</v>
      </c>
      <c r="O1042" s="115">
        <f>IF(N1042/M1042*100&gt;110,110,N1042/M1042*100)</f>
        <v>99.612403100775197</v>
      </c>
      <c r="P1042" s="127"/>
      <c r="Q1042" s="113"/>
      <c r="R1042" s="114"/>
      <c r="S1042" s="579"/>
      <c r="T1042" s="211"/>
    </row>
    <row r="1043" spans="1:20" s="212" customFormat="1" x14ac:dyDescent="0.35">
      <c r="A1043" s="576"/>
      <c r="B1043" s="600"/>
      <c r="C1043" s="114" t="s">
        <v>8</v>
      </c>
      <c r="D1043" s="116" t="s">
        <v>561</v>
      </c>
      <c r="E1043" s="114" t="s">
        <v>25</v>
      </c>
      <c r="F1043" s="114">
        <v>100</v>
      </c>
      <c r="G1043" s="114">
        <v>100</v>
      </c>
      <c r="H1043" s="509">
        <f t="shared" si="95"/>
        <v>100</v>
      </c>
      <c r="I1043" s="114"/>
      <c r="J1043" s="114"/>
      <c r="K1043" s="503"/>
      <c r="L1043" s="114"/>
      <c r="M1043" s="117"/>
      <c r="N1043" s="117"/>
      <c r="O1043" s="115"/>
      <c r="P1043" s="127"/>
      <c r="Q1043" s="113"/>
      <c r="R1043" s="114"/>
      <c r="S1043" s="579"/>
      <c r="T1043" s="211"/>
    </row>
    <row r="1044" spans="1:20" s="212" customFormat="1" ht="57.75" customHeight="1" x14ac:dyDescent="0.35">
      <c r="A1044" s="576"/>
      <c r="B1044" s="600"/>
      <c r="C1044" s="114" t="s">
        <v>9</v>
      </c>
      <c r="D1044" s="116" t="s">
        <v>468</v>
      </c>
      <c r="E1044" s="114" t="s">
        <v>389</v>
      </c>
      <c r="F1044" s="114">
        <v>100</v>
      </c>
      <c r="G1044" s="114">
        <v>100</v>
      </c>
      <c r="H1044" s="509">
        <f t="shared" si="95"/>
        <v>100</v>
      </c>
      <c r="I1044" s="114"/>
      <c r="J1044" s="118"/>
      <c r="K1044" s="116"/>
      <c r="L1044" s="114"/>
      <c r="M1044" s="119"/>
      <c r="N1044" s="119"/>
      <c r="O1044" s="115"/>
      <c r="P1044" s="127"/>
      <c r="Q1044" s="113"/>
      <c r="R1044" s="114"/>
      <c r="S1044" s="579"/>
      <c r="T1044" s="211"/>
    </row>
    <row r="1045" spans="1:20" s="212" customFormat="1" ht="54.75" customHeight="1" x14ac:dyDescent="0.35">
      <c r="A1045" s="576"/>
      <c r="B1045" s="600"/>
      <c r="C1045" s="114" t="s">
        <v>10</v>
      </c>
      <c r="D1045" s="116" t="s">
        <v>390</v>
      </c>
      <c r="E1045" s="114" t="s">
        <v>25</v>
      </c>
      <c r="F1045" s="114">
        <v>90</v>
      </c>
      <c r="G1045" s="114">
        <v>100</v>
      </c>
      <c r="H1045" s="509">
        <f t="shared" si="95"/>
        <v>100</v>
      </c>
      <c r="I1045" s="114"/>
      <c r="J1045" s="118"/>
      <c r="K1045" s="116"/>
      <c r="L1045" s="114"/>
      <c r="M1045" s="119"/>
      <c r="N1045" s="119"/>
      <c r="O1045" s="115"/>
      <c r="P1045" s="127"/>
      <c r="Q1045" s="113"/>
      <c r="R1045" s="114"/>
      <c r="S1045" s="579"/>
      <c r="T1045" s="211"/>
    </row>
    <row r="1046" spans="1:20" s="212" customFormat="1" ht="123.75" customHeight="1" x14ac:dyDescent="0.35">
      <c r="A1046" s="576"/>
      <c r="B1046" s="600"/>
      <c r="C1046" s="114" t="s">
        <v>35</v>
      </c>
      <c r="D1046" s="116" t="s">
        <v>130</v>
      </c>
      <c r="E1046" s="114" t="s">
        <v>25</v>
      </c>
      <c r="F1046" s="114">
        <v>100</v>
      </c>
      <c r="G1046" s="114">
        <v>100</v>
      </c>
      <c r="H1046" s="509">
        <f t="shared" si="95"/>
        <v>100</v>
      </c>
      <c r="I1046" s="114"/>
      <c r="J1046" s="118"/>
      <c r="K1046" s="116"/>
      <c r="L1046" s="114"/>
      <c r="M1046" s="119"/>
      <c r="N1046" s="119"/>
      <c r="O1046" s="115"/>
      <c r="P1046" s="127"/>
      <c r="Q1046" s="113"/>
      <c r="R1046" s="114"/>
      <c r="S1046" s="579"/>
      <c r="T1046" s="211"/>
    </row>
    <row r="1047" spans="1:20" s="124" customFormat="1" ht="40.5" customHeight="1" x14ac:dyDescent="0.35">
      <c r="A1047" s="576"/>
      <c r="B1047" s="600"/>
      <c r="C1047" s="191"/>
      <c r="D1047" s="183" t="s">
        <v>6</v>
      </c>
      <c r="E1047" s="191"/>
      <c r="F1047" s="184"/>
      <c r="G1047" s="184"/>
      <c r="H1047" s="187"/>
      <c r="I1047" s="187">
        <f>(H1042+H1043+H1044+H1045+H1046)/5</f>
        <v>100</v>
      </c>
      <c r="J1047" s="182"/>
      <c r="K1047" s="183" t="s">
        <v>6</v>
      </c>
      <c r="L1047" s="184"/>
      <c r="M1047" s="188"/>
      <c r="N1047" s="188"/>
      <c r="O1047" s="187"/>
      <c r="P1047" s="187">
        <f>O1042</f>
        <v>99.612403100775197</v>
      </c>
      <c r="Q1047" s="187">
        <f>(I1047+P1047)/2</f>
        <v>99.806201550387598</v>
      </c>
      <c r="R1047" s="191" t="s">
        <v>361</v>
      </c>
      <c r="S1047" s="579"/>
      <c r="T1047" s="123"/>
    </row>
    <row r="1048" spans="1:20" s="212" customFormat="1" ht="63.75" customHeight="1" x14ac:dyDescent="0.35">
      <c r="A1048" s="576"/>
      <c r="B1048" s="600"/>
      <c r="C1048" s="502" t="s">
        <v>13</v>
      </c>
      <c r="D1048" s="146" t="s">
        <v>131</v>
      </c>
      <c r="E1048" s="114"/>
      <c r="F1048" s="114"/>
      <c r="G1048" s="114"/>
      <c r="H1048" s="113"/>
      <c r="I1048" s="113"/>
      <c r="J1048" s="502" t="s">
        <v>13</v>
      </c>
      <c r="K1048" s="146" t="s">
        <v>131</v>
      </c>
      <c r="L1048" s="114"/>
      <c r="M1048" s="119"/>
      <c r="N1048" s="119"/>
      <c r="O1048" s="113"/>
      <c r="P1048" s="127"/>
      <c r="Q1048" s="113"/>
      <c r="R1048" s="114"/>
      <c r="S1048" s="579"/>
      <c r="T1048" s="211"/>
    </row>
    <row r="1049" spans="1:20" s="212" customFormat="1" ht="75.75" customHeight="1" x14ac:dyDescent="0.35">
      <c r="A1049" s="576"/>
      <c r="B1049" s="600"/>
      <c r="C1049" s="114" t="s">
        <v>14</v>
      </c>
      <c r="D1049" s="116" t="s">
        <v>132</v>
      </c>
      <c r="E1049" s="114" t="s">
        <v>25</v>
      </c>
      <c r="F1049" s="114">
        <v>100</v>
      </c>
      <c r="G1049" s="114">
        <v>100</v>
      </c>
      <c r="H1049" s="509">
        <f t="shared" ref="H1049:H1053" si="96">IF(G1049/F1049*100&gt;100,100,G1049/F1049*100)</f>
        <v>100</v>
      </c>
      <c r="I1049" s="114"/>
      <c r="J1049" s="118" t="s">
        <v>14</v>
      </c>
      <c r="K1049" s="116" t="s">
        <v>89</v>
      </c>
      <c r="L1049" s="114" t="s">
        <v>38</v>
      </c>
      <c r="M1049" s="114">
        <v>355</v>
      </c>
      <c r="N1049" s="114">
        <v>365</v>
      </c>
      <c r="O1049" s="115">
        <f>IF(N1049/M1049*100&gt;110,110,N1049/M1049*100)</f>
        <v>102.8169014084507</v>
      </c>
      <c r="P1049" s="114"/>
      <c r="Q1049" s="113"/>
      <c r="R1049" s="114"/>
      <c r="S1049" s="579"/>
      <c r="T1049" s="211"/>
    </row>
    <row r="1050" spans="1:20" s="212" customFormat="1" x14ac:dyDescent="0.35">
      <c r="A1050" s="576"/>
      <c r="B1050" s="600"/>
      <c r="C1050" s="114" t="s">
        <v>15</v>
      </c>
      <c r="D1050" s="116" t="s">
        <v>559</v>
      </c>
      <c r="E1050" s="114" t="s">
        <v>25</v>
      </c>
      <c r="F1050" s="114">
        <v>100</v>
      </c>
      <c r="G1050" s="114">
        <v>100</v>
      </c>
      <c r="H1050" s="509">
        <f t="shared" si="96"/>
        <v>100</v>
      </c>
      <c r="I1050" s="114"/>
      <c r="J1050" s="118"/>
      <c r="K1050" s="116"/>
      <c r="L1050" s="114"/>
      <c r="M1050" s="119"/>
      <c r="N1050" s="119"/>
      <c r="O1050" s="115"/>
      <c r="P1050" s="127"/>
      <c r="Q1050" s="113"/>
      <c r="R1050" s="114"/>
      <c r="S1050" s="579"/>
      <c r="T1050" s="211"/>
    </row>
    <row r="1051" spans="1:20" s="212" customFormat="1" ht="47.25" customHeight="1" x14ac:dyDescent="0.35">
      <c r="A1051" s="576"/>
      <c r="B1051" s="600"/>
      <c r="C1051" s="114" t="s">
        <v>39</v>
      </c>
      <c r="D1051" s="116" t="s">
        <v>468</v>
      </c>
      <c r="E1051" s="114" t="s">
        <v>389</v>
      </c>
      <c r="F1051" s="114">
        <v>100</v>
      </c>
      <c r="G1051" s="114">
        <v>100</v>
      </c>
      <c r="H1051" s="509">
        <f t="shared" si="96"/>
        <v>100</v>
      </c>
      <c r="I1051" s="114"/>
      <c r="J1051" s="118"/>
      <c r="K1051" s="116"/>
      <c r="L1051" s="114"/>
      <c r="M1051" s="119"/>
      <c r="N1051" s="119"/>
      <c r="O1051" s="115"/>
      <c r="P1051" s="127"/>
      <c r="Q1051" s="113"/>
      <c r="R1051" s="114"/>
      <c r="S1051" s="579"/>
      <c r="T1051" s="211"/>
    </row>
    <row r="1052" spans="1:20" s="212" customFormat="1" ht="65.25" customHeight="1" x14ac:dyDescent="0.35">
      <c r="A1052" s="576"/>
      <c r="B1052" s="600"/>
      <c r="C1052" s="114" t="s">
        <v>45</v>
      </c>
      <c r="D1052" s="116" t="s">
        <v>390</v>
      </c>
      <c r="E1052" s="114" t="s">
        <v>25</v>
      </c>
      <c r="F1052" s="114">
        <v>90</v>
      </c>
      <c r="G1052" s="114">
        <v>100</v>
      </c>
      <c r="H1052" s="509">
        <f t="shared" si="96"/>
        <v>100</v>
      </c>
      <c r="I1052" s="114"/>
      <c r="J1052" s="118"/>
      <c r="K1052" s="116"/>
      <c r="L1052" s="114"/>
      <c r="M1052" s="119"/>
      <c r="N1052" s="119"/>
      <c r="O1052" s="115"/>
      <c r="P1052" s="127"/>
      <c r="Q1052" s="113"/>
      <c r="R1052" s="114"/>
      <c r="S1052" s="579"/>
      <c r="T1052" s="211"/>
    </row>
    <row r="1053" spans="1:20" s="212" customFormat="1" ht="126.75" customHeight="1" x14ac:dyDescent="0.35">
      <c r="A1053" s="576"/>
      <c r="B1053" s="600"/>
      <c r="C1053" s="114" t="s">
        <v>66</v>
      </c>
      <c r="D1053" s="116" t="s">
        <v>130</v>
      </c>
      <c r="E1053" s="114" t="s">
        <v>25</v>
      </c>
      <c r="F1053" s="114">
        <v>100</v>
      </c>
      <c r="G1053" s="114">
        <v>100</v>
      </c>
      <c r="H1053" s="509">
        <f t="shared" si="96"/>
        <v>100</v>
      </c>
      <c r="I1053" s="114"/>
      <c r="J1053" s="118"/>
      <c r="K1053" s="116"/>
      <c r="L1053" s="114"/>
      <c r="M1053" s="119"/>
      <c r="N1053" s="119"/>
      <c r="O1053" s="115"/>
      <c r="P1053" s="127"/>
      <c r="Q1053" s="113"/>
      <c r="R1053" s="114"/>
      <c r="S1053" s="579"/>
      <c r="T1053" s="211"/>
    </row>
    <row r="1054" spans="1:20" s="124" customFormat="1" ht="40.5" customHeight="1" x14ac:dyDescent="0.35">
      <c r="A1054" s="576"/>
      <c r="B1054" s="600"/>
      <c r="C1054" s="191"/>
      <c r="D1054" s="183" t="s">
        <v>6</v>
      </c>
      <c r="E1054" s="191"/>
      <c r="F1054" s="184"/>
      <c r="G1054" s="184"/>
      <c r="H1054" s="187"/>
      <c r="I1054" s="187">
        <f>(H1049+H1050+H1051+H1052+H1053)/5</f>
        <v>100</v>
      </c>
      <c r="J1054" s="182"/>
      <c r="K1054" s="183" t="s">
        <v>6</v>
      </c>
      <c r="L1054" s="184"/>
      <c r="M1054" s="188"/>
      <c r="N1054" s="188"/>
      <c r="O1054" s="187"/>
      <c r="P1054" s="187">
        <f>O1049</f>
        <v>102.8169014084507</v>
      </c>
      <c r="Q1054" s="187">
        <f>(I1054+P1054)/2</f>
        <v>101.40845070422534</v>
      </c>
      <c r="R1054" s="191" t="s">
        <v>31</v>
      </c>
      <c r="S1054" s="579"/>
      <c r="T1054" s="123"/>
    </row>
    <row r="1055" spans="1:20" s="212" customFormat="1" ht="67.5" x14ac:dyDescent="0.35">
      <c r="A1055" s="576"/>
      <c r="B1055" s="600"/>
      <c r="C1055" s="502" t="s">
        <v>28</v>
      </c>
      <c r="D1055" s="146" t="s">
        <v>133</v>
      </c>
      <c r="E1055" s="114"/>
      <c r="F1055" s="114"/>
      <c r="G1055" s="114"/>
      <c r="H1055" s="113"/>
      <c r="I1055" s="113"/>
      <c r="J1055" s="502" t="s">
        <v>28</v>
      </c>
      <c r="K1055" s="146" t="str">
        <f>D1055</f>
        <v>Реализация основных общеобразовательных программ среднего общего образования</v>
      </c>
      <c r="L1055" s="114"/>
      <c r="M1055" s="119"/>
      <c r="N1055" s="119"/>
      <c r="O1055" s="113"/>
      <c r="P1055" s="127"/>
      <c r="Q1055" s="113"/>
      <c r="R1055" s="114"/>
      <c r="S1055" s="579"/>
      <c r="T1055" s="211"/>
    </row>
    <row r="1056" spans="1:20" s="212" customFormat="1" ht="76.5" customHeight="1" x14ac:dyDescent="0.35">
      <c r="A1056" s="576"/>
      <c r="B1056" s="600"/>
      <c r="C1056" s="114" t="s">
        <v>29</v>
      </c>
      <c r="D1056" s="116" t="s">
        <v>134</v>
      </c>
      <c r="E1056" s="114" t="s">
        <v>25</v>
      </c>
      <c r="F1056" s="114">
        <v>100</v>
      </c>
      <c r="G1056" s="114">
        <v>100</v>
      </c>
      <c r="H1056" s="509">
        <f t="shared" ref="H1056:H1060" si="97">IF(G1056/F1056*100&gt;100,100,G1056/F1056*100)</f>
        <v>100</v>
      </c>
      <c r="I1056" s="114"/>
      <c r="J1056" s="118" t="s">
        <v>29</v>
      </c>
      <c r="K1056" s="116" t="s">
        <v>89</v>
      </c>
      <c r="L1056" s="114" t="s">
        <v>38</v>
      </c>
      <c r="M1056" s="114">
        <v>40</v>
      </c>
      <c r="N1056" s="114">
        <v>41</v>
      </c>
      <c r="O1056" s="115">
        <f>IF(N1056/M1056*100&gt;110,110,N1056/M1056*100)</f>
        <v>102.49999999999999</v>
      </c>
      <c r="P1056" s="114"/>
      <c r="Q1056" s="113"/>
      <c r="R1056" s="114"/>
      <c r="S1056" s="579"/>
      <c r="T1056" s="211"/>
    </row>
    <row r="1057" spans="1:20" s="212" customFormat="1" ht="33.75" customHeight="1" x14ac:dyDescent="0.35">
      <c r="A1057" s="576"/>
      <c r="B1057" s="600"/>
      <c r="C1057" s="114" t="s">
        <v>30</v>
      </c>
      <c r="D1057" s="116" t="s">
        <v>560</v>
      </c>
      <c r="E1057" s="114" t="s">
        <v>25</v>
      </c>
      <c r="F1057" s="114">
        <v>100</v>
      </c>
      <c r="G1057" s="114">
        <v>100</v>
      </c>
      <c r="H1057" s="509">
        <f t="shared" si="97"/>
        <v>100</v>
      </c>
      <c r="I1057" s="114"/>
      <c r="J1057" s="118"/>
      <c r="K1057" s="116"/>
      <c r="L1057" s="114"/>
      <c r="M1057" s="119"/>
      <c r="N1057" s="119"/>
      <c r="O1057" s="115"/>
      <c r="P1057" s="127"/>
      <c r="Q1057" s="113"/>
      <c r="R1057" s="114"/>
      <c r="S1057" s="579"/>
      <c r="T1057" s="211"/>
    </row>
    <row r="1058" spans="1:20" s="212" customFormat="1" ht="56.25" customHeight="1" x14ac:dyDescent="0.35">
      <c r="A1058" s="576"/>
      <c r="B1058" s="600"/>
      <c r="C1058" s="114" t="s">
        <v>52</v>
      </c>
      <c r="D1058" s="116" t="s">
        <v>468</v>
      </c>
      <c r="E1058" s="114" t="s">
        <v>389</v>
      </c>
      <c r="F1058" s="114">
        <v>100</v>
      </c>
      <c r="G1058" s="114">
        <v>100</v>
      </c>
      <c r="H1058" s="509">
        <f t="shared" si="97"/>
        <v>100</v>
      </c>
      <c r="I1058" s="114"/>
      <c r="J1058" s="118"/>
      <c r="K1058" s="116"/>
      <c r="L1058" s="114"/>
      <c r="M1058" s="119"/>
      <c r="N1058" s="119"/>
      <c r="O1058" s="115"/>
      <c r="P1058" s="127"/>
      <c r="Q1058" s="113"/>
      <c r="R1058" s="114"/>
      <c r="S1058" s="579"/>
      <c r="T1058" s="211"/>
    </row>
    <row r="1059" spans="1:20" s="212" customFormat="1" ht="63.75" customHeight="1" x14ac:dyDescent="0.35">
      <c r="A1059" s="576"/>
      <c r="B1059" s="600"/>
      <c r="C1059" s="114" t="s">
        <v>53</v>
      </c>
      <c r="D1059" s="116" t="s">
        <v>390</v>
      </c>
      <c r="E1059" s="114" t="s">
        <v>25</v>
      </c>
      <c r="F1059" s="114">
        <v>90</v>
      </c>
      <c r="G1059" s="114">
        <v>100</v>
      </c>
      <c r="H1059" s="509">
        <f t="shared" si="97"/>
        <v>100</v>
      </c>
      <c r="I1059" s="114"/>
      <c r="J1059" s="118"/>
      <c r="K1059" s="116"/>
      <c r="L1059" s="114"/>
      <c r="M1059" s="119"/>
      <c r="N1059" s="119"/>
      <c r="O1059" s="115"/>
      <c r="P1059" s="127"/>
      <c r="Q1059" s="113"/>
      <c r="R1059" s="114"/>
      <c r="S1059" s="579"/>
      <c r="T1059" s="211"/>
    </row>
    <row r="1060" spans="1:20" s="212" customFormat="1" ht="128.25" customHeight="1" x14ac:dyDescent="0.35">
      <c r="A1060" s="576"/>
      <c r="B1060" s="600"/>
      <c r="C1060" s="114" t="s">
        <v>135</v>
      </c>
      <c r="D1060" s="116" t="s">
        <v>130</v>
      </c>
      <c r="E1060" s="114" t="s">
        <v>25</v>
      </c>
      <c r="F1060" s="114">
        <v>100</v>
      </c>
      <c r="G1060" s="114">
        <v>100</v>
      </c>
      <c r="H1060" s="509">
        <f t="shared" si="97"/>
        <v>100</v>
      </c>
      <c r="I1060" s="114"/>
      <c r="J1060" s="118"/>
      <c r="K1060" s="116"/>
      <c r="L1060" s="114"/>
      <c r="M1060" s="119"/>
      <c r="N1060" s="119"/>
      <c r="O1060" s="115"/>
      <c r="P1060" s="127"/>
      <c r="Q1060" s="113"/>
      <c r="R1060" s="114"/>
      <c r="S1060" s="579"/>
      <c r="T1060" s="211"/>
    </row>
    <row r="1061" spans="1:20" s="124" customFormat="1" ht="40.5" customHeight="1" x14ac:dyDescent="0.35">
      <c r="A1061" s="576"/>
      <c r="B1061" s="600"/>
      <c r="C1061" s="191"/>
      <c r="D1061" s="183" t="s">
        <v>6</v>
      </c>
      <c r="E1061" s="191"/>
      <c r="F1061" s="184"/>
      <c r="G1061" s="184"/>
      <c r="H1061" s="187"/>
      <c r="I1061" s="187">
        <f>(H1056+H1057+H1058+H1059+H1060)/5</f>
        <v>100</v>
      </c>
      <c r="J1061" s="182"/>
      <c r="K1061" s="183" t="s">
        <v>6</v>
      </c>
      <c r="L1061" s="184"/>
      <c r="M1061" s="188"/>
      <c r="N1061" s="188"/>
      <c r="O1061" s="187"/>
      <c r="P1061" s="187">
        <f>O1056</f>
        <v>102.49999999999999</v>
      </c>
      <c r="Q1061" s="187">
        <f>(I1061+P1061)/2</f>
        <v>101.25</v>
      </c>
      <c r="R1061" s="191" t="s">
        <v>31</v>
      </c>
      <c r="S1061" s="579"/>
      <c r="T1061" s="123"/>
    </row>
    <row r="1062" spans="1:20" s="212" customFormat="1" x14ac:dyDescent="0.35">
      <c r="A1062" s="576"/>
      <c r="B1062" s="600"/>
      <c r="C1062" s="502" t="s">
        <v>42</v>
      </c>
      <c r="D1062" s="146" t="s">
        <v>90</v>
      </c>
      <c r="E1062" s="114"/>
      <c r="F1062" s="114"/>
      <c r="G1062" s="114"/>
      <c r="H1062" s="113"/>
      <c r="I1062" s="113"/>
      <c r="J1062" s="502" t="s">
        <v>42</v>
      </c>
      <c r="K1062" s="146" t="s">
        <v>90</v>
      </c>
      <c r="L1062" s="114"/>
      <c r="M1062" s="119"/>
      <c r="N1062" s="119"/>
      <c r="O1062" s="113"/>
      <c r="P1062" s="127"/>
      <c r="Q1062" s="113"/>
      <c r="R1062" s="114"/>
      <c r="S1062" s="579"/>
      <c r="T1062" s="211"/>
    </row>
    <row r="1063" spans="1:20" s="212" customFormat="1" ht="41.25" customHeight="1" x14ac:dyDescent="0.35">
      <c r="A1063" s="576"/>
      <c r="B1063" s="600"/>
      <c r="C1063" s="114" t="s">
        <v>43</v>
      </c>
      <c r="D1063" s="116" t="s">
        <v>136</v>
      </c>
      <c r="E1063" s="114" t="s">
        <v>25</v>
      </c>
      <c r="F1063" s="114">
        <v>100</v>
      </c>
      <c r="G1063" s="114">
        <v>100</v>
      </c>
      <c r="H1063" s="509">
        <f t="shared" ref="H1063:H1064" si="98">IF(G1063/F1063*100&gt;100,100,G1063/F1063*100)</f>
        <v>100</v>
      </c>
      <c r="I1063" s="114"/>
      <c r="J1063" s="118" t="s">
        <v>43</v>
      </c>
      <c r="K1063" s="116" t="s">
        <v>89</v>
      </c>
      <c r="L1063" s="114" t="s">
        <v>38</v>
      </c>
      <c r="M1063" s="114">
        <v>218</v>
      </c>
      <c r="N1063" s="114">
        <v>218</v>
      </c>
      <c r="O1063" s="115">
        <f>IF(N1063/M1063*100&gt;110,110,N1063/M1063*100)</f>
        <v>100</v>
      </c>
      <c r="P1063" s="127"/>
      <c r="Q1063" s="113"/>
      <c r="R1063" s="114"/>
      <c r="S1063" s="579"/>
      <c r="T1063" s="211"/>
    </row>
    <row r="1064" spans="1:20" s="212" customFormat="1" ht="84" customHeight="1" x14ac:dyDescent="0.35">
      <c r="A1064" s="576"/>
      <c r="B1064" s="600"/>
      <c r="C1064" s="114" t="s">
        <v>137</v>
      </c>
      <c r="D1064" s="116" t="s">
        <v>138</v>
      </c>
      <c r="E1064" s="114" t="s">
        <v>25</v>
      </c>
      <c r="F1064" s="114">
        <v>90</v>
      </c>
      <c r="G1064" s="114">
        <v>90</v>
      </c>
      <c r="H1064" s="509">
        <f t="shared" si="98"/>
        <v>100</v>
      </c>
      <c r="I1064" s="114"/>
      <c r="J1064" s="118"/>
      <c r="K1064" s="116"/>
      <c r="L1064" s="114"/>
      <c r="M1064" s="119"/>
      <c r="N1064" s="119"/>
      <c r="O1064" s="115"/>
      <c r="P1064" s="127"/>
      <c r="Q1064" s="113"/>
      <c r="R1064" s="114"/>
      <c r="S1064" s="579"/>
      <c r="T1064" s="211"/>
    </row>
    <row r="1065" spans="1:20" s="124" customFormat="1" ht="40.5" customHeight="1" x14ac:dyDescent="0.35">
      <c r="A1065" s="576"/>
      <c r="B1065" s="600"/>
      <c r="C1065" s="191"/>
      <c r="D1065" s="183" t="s">
        <v>6</v>
      </c>
      <c r="E1065" s="191"/>
      <c r="F1065" s="184"/>
      <c r="G1065" s="184"/>
      <c r="H1065" s="187"/>
      <c r="I1065" s="187">
        <f>(H1063+H1064)/2</f>
        <v>100</v>
      </c>
      <c r="J1065" s="182"/>
      <c r="K1065" s="183" t="s">
        <v>6</v>
      </c>
      <c r="L1065" s="184"/>
      <c r="M1065" s="188"/>
      <c r="N1065" s="188"/>
      <c r="O1065" s="187"/>
      <c r="P1065" s="187">
        <f>O1063</f>
        <v>100</v>
      </c>
      <c r="Q1065" s="187">
        <f>(I1065+P1065)/2</f>
        <v>100</v>
      </c>
      <c r="R1065" s="191" t="s">
        <v>31</v>
      </c>
      <c r="S1065" s="579"/>
      <c r="T1065" s="123"/>
    </row>
    <row r="1066" spans="1:20" s="212" customFormat="1" ht="40.5" customHeight="1" x14ac:dyDescent="0.35">
      <c r="A1066" s="576"/>
      <c r="B1066" s="600"/>
      <c r="C1066" s="502" t="s">
        <v>164</v>
      </c>
      <c r="D1066" s="146" t="s">
        <v>472</v>
      </c>
      <c r="E1066" s="114"/>
      <c r="F1066" s="114"/>
      <c r="G1066" s="114"/>
      <c r="H1066" s="113"/>
      <c r="I1066" s="113"/>
      <c r="J1066" s="502" t="str">
        <f>C1066</f>
        <v>V</v>
      </c>
      <c r="K1066" s="340" t="str">
        <f>D1066</f>
        <v>Содержание детей на уровне начального общего образования</v>
      </c>
      <c r="L1066" s="114"/>
      <c r="M1066" s="119"/>
      <c r="N1066" s="119"/>
      <c r="O1066" s="113"/>
      <c r="P1066" s="127"/>
      <c r="Q1066" s="113"/>
      <c r="R1066" s="114"/>
      <c r="S1066" s="579"/>
      <c r="T1066" s="211"/>
    </row>
    <row r="1067" spans="1:20" s="212" customFormat="1" ht="74.25" customHeight="1" x14ac:dyDescent="0.35">
      <c r="A1067" s="576"/>
      <c r="B1067" s="600"/>
      <c r="C1067" s="114" t="s">
        <v>165</v>
      </c>
      <c r="D1067" s="116" t="s">
        <v>138</v>
      </c>
      <c r="E1067" s="114" t="s">
        <v>25</v>
      </c>
      <c r="F1067" s="114">
        <v>100</v>
      </c>
      <c r="G1067" s="114">
        <v>100</v>
      </c>
      <c r="H1067" s="509">
        <f>IF(G1067/F1067*100&gt;100,100,G1067/F1067*100)</f>
        <v>100</v>
      </c>
      <c r="I1067" s="114"/>
      <c r="J1067" s="114" t="str">
        <f>C1067</f>
        <v>5.1.</v>
      </c>
      <c r="K1067" s="116" t="s">
        <v>89</v>
      </c>
      <c r="L1067" s="114" t="s">
        <v>38</v>
      </c>
      <c r="M1067" s="114">
        <v>1</v>
      </c>
      <c r="N1067" s="114">
        <v>1</v>
      </c>
      <c r="O1067" s="115">
        <f>IF(N1067/M1067*100&gt;110,110,N1067/M1067*100)</f>
        <v>100</v>
      </c>
      <c r="P1067" s="127"/>
      <c r="Q1067" s="113"/>
      <c r="R1067" s="114"/>
      <c r="S1067" s="579"/>
      <c r="T1067" s="211"/>
    </row>
    <row r="1068" spans="1:20" s="124" customFormat="1" ht="39.75" customHeight="1" x14ac:dyDescent="0.35">
      <c r="A1068" s="576"/>
      <c r="B1068" s="600"/>
      <c r="C1068" s="191"/>
      <c r="D1068" s="183" t="s">
        <v>6</v>
      </c>
      <c r="E1068" s="191"/>
      <c r="F1068" s="184"/>
      <c r="G1068" s="184"/>
      <c r="H1068" s="187"/>
      <c r="I1068" s="187">
        <f>H1067</f>
        <v>100</v>
      </c>
      <c r="J1068" s="182"/>
      <c r="K1068" s="183" t="s">
        <v>6</v>
      </c>
      <c r="L1068" s="184"/>
      <c r="M1068" s="188"/>
      <c r="N1068" s="188"/>
      <c r="O1068" s="187"/>
      <c r="P1068" s="187">
        <f>O1067</f>
        <v>100</v>
      </c>
      <c r="Q1068" s="187">
        <f>(I1068+P1068)/2</f>
        <v>100</v>
      </c>
      <c r="R1068" s="191" t="s">
        <v>31</v>
      </c>
      <c r="S1068" s="579"/>
      <c r="T1068" s="123"/>
    </row>
    <row r="1069" spans="1:20" s="212" customFormat="1" ht="58.5" customHeight="1" x14ac:dyDescent="0.35">
      <c r="A1069" s="576"/>
      <c r="B1069" s="600"/>
      <c r="C1069" s="502" t="s">
        <v>170</v>
      </c>
      <c r="D1069" s="146" t="s">
        <v>473</v>
      </c>
      <c r="E1069" s="502"/>
      <c r="F1069" s="114"/>
      <c r="G1069" s="114"/>
      <c r="H1069" s="113"/>
      <c r="I1069" s="113"/>
      <c r="J1069" s="209" t="str">
        <f>C1069</f>
        <v>VI</v>
      </c>
      <c r="K1069" s="146" t="str">
        <f>D1069</f>
        <v>Содержание детей на уровне основного общего образования</v>
      </c>
      <c r="L1069" s="114"/>
      <c r="M1069" s="210"/>
      <c r="N1069" s="210"/>
      <c r="O1069" s="113"/>
      <c r="P1069" s="113"/>
      <c r="Q1069" s="113"/>
      <c r="R1069" s="502"/>
      <c r="S1069" s="579"/>
      <c r="T1069" s="211"/>
    </row>
    <row r="1070" spans="1:20" s="212" customFormat="1" ht="68.25" customHeight="1" x14ac:dyDescent="0.35">
      <c r="A1070" s="576"/>
      <c r="B1070" s="600"/>
      <c r="C1070" s="114" t="s">
        <v>171</v>
      </c>
      <c r="D1070" s="341" t="s">
        <v>138</v>
      </c>
      <c r="E1070" s="114" t="s">
        <v>25</v>
      </c>
      <c r="F1070" s="114">
        <v>100</v>
      </c>
      <c r="G1070" s="114">
        <v>100</v>
      </c>
      <c r="H1070" s="509">
        <f>IF(G1070/F1070*100&gt;100,100,G1070/F1070*100)</f>
        <v>100</v>
      </c>
      <c r="I1070" s="113"/>
      <c r="J1070" s="118" t="str">
        <f>C1070</f>
        <v>6.1.</v>
      </c>
      <c r="K1070" s="116" t="s">
        <v>89</v>
      </c>
      <c r="L1070" s="114" t="s">
        <v>38</v>
      </c>
      <c r="M1070" s="213">
        <v>6</v>
      </c>
      <c r="N1070" s="213">
        <v>6</v>
      </c>
      <c r="O1070" s="115">
        <f>IF(N1070/M1070*100&gt;110,110,N1070/M1070*100)</f>
        <v>100</v>
      </c>
      <c r="P1070" s="113"/>
      <c r="Q1070" s="113"/>
      <c r="R1070" s="502"/>
      <c r="S1070" s="579"/>
      <c r="T1070" s="211"/>
    </row>
    <row r="1071" spans="1:20" s="124" customFormat="1" ht="39.75" customHeight="1" x14ac:dyDescent="0.35">
      <c r="A1071" s="576"/>
      <c r="B1071" s="600"/>
      <c r="C1071" s="191"/>
      <c r="D1071" s="183" t="s">
        <v>6</v>
      </c>
      <c r="E1071" s="191"/>
      <c r="F1071" s="184"/>
      <c r="G1071" s="184"/>
      <c r="H1071" s="187"/>
      <c r="I1071" s="187">
        <f>H1070</f>
        <v>100</v>
      </c>
      <c r="J1071" s="182"/>
      <c r="K1071" s="183"/>
      <c r="L1071" s="184"/>
      <c r="M1071" s="188"/>
      <c r="N1071" s="188"/>
      <c r="O1071" s="187"/>
      <c r="P1071" s="187">
        <f>O1070</f>
        <v>100</v>
      </c>
      <c r="Q1071" s="187">
        <f>(I1071+P1071)/2</f>
        <v>100</v>
      </c>
      <c r="R1071" s="191" t="s">
        <v>31</v>
      </c>
      <c r="S1071" s="579"/>
      <c r="T1071" s="123"/>
    </row>
    <row r="1072" spans="1:20" s="212" customFormat="1" ht="51" customHeight="1" x14ac:dyDescent="0.35">
      <c r="A1072" s="576"/>
      <c r="B1072" s="600"/>
      <c r="C1072" s="502" t="s">
        <v>207</v>
      </c>
      <c r="D1072" s="146" t="s">
        <v>211</v>
      </c>
      <c r="E1072" s="114"/>
      <c r="F1072" s="114"/>
      <c r="G1072" s="114"/>
      <c r="H1072" s="113"/>
      <c r="I1072" s="113"/>
      <c r="J1072" s="502" t="str">
        <f>C1072</f>
        <v>VII</v>
      </c>
      <c r="K1072" s="146" t="str">
        <f>D1072</f>
        <v>Реализация дополнительных общеразвивающих программ</v>
      </c>
      <c r="L1072" s="114"/>
      <c r="M1072" s="119"/>
      <c r="N1072" s="119"/>
      <c r="O1072" s="113"/>
      <c r="P1072" s="127"/>
      <c r="Q1072" s="113"/>
      <c r="R1072" s="114"/>
      <c r="S1072" s="579"/>
      <c r="T1072" s="211"/>
    </row>
    <row r="1073" spans="1:20" s="212" customFormat="1" ht="76.5" customHeight="1" x14ac:dyDescent="0.35">
      <c r="A1073" s="576"/>
      <c r="B1073" s="600"/>
      <c r="C1073" s="114" t="s">
        <v>208</v>
      </c>
      <c r="D1073" s="116" t="s">
        <v>138</v>
      </c>
      <c r="E1073" s="114" t="s">
        <v>25</v>
      </c>
      <c r="F1073" s="114">
        <v>90</v>
      </c>
      <c r="G1073" s="114">
        <v>90</v>
      </c>
      <c r="H1073" s="509">
        <f>IF(G1073/F1073*100&gt;100,100,G1073/F1073*100)</f>
        <v>100</v>
      </c>
      <c r="I1073" s="114"/>
      <c r="J1073" s="114" t="str">
        <f>C1073</f>
        <v>7.1.</v>
      </c>
      <c r="K1073" s="116" t="s">
        <v>469</v>
      </c>
      <c r="L1073" s="114" t="s">
        <v>339</v>
      </c>
      <c r="M1073" s="114">
        <v>65136</v>
      </c>
      <c r="N1073" s="114">
        <v>66699</v>
      </c>
      <c r="O1073" s="115">
        <f>IF(N1073/M1073*100&gt;110,110,N1073/M1073*100)</f>
        <v>102.39959469417835</v>
      </c>
      <c r="P1073" s="127"/>
      <c r="Q1073" s="113"/>
      <c r="R1073" s="114"/>
      <c r="S1073" s="579"/>
      <c r="T1073" s="211"/>
    </row>
    <row r="1074" spans="1:20" s="124" customFormat="1" ht="39.75" customHeight="1" x14ac:dyDescent="0.35">
      <c r="A1074" s="576"/>
      <c r="B1074" s="600"/>
      <c r="C1074" s="191"/>
      <c r="D1074" s="183" t="s">
        <v>6</v>
      </c>
      <c r="E1074" s="191"/>
      <c r="F1074" s="184"/>
      <c r="G1074" s="184"/>
      <c r="H1074" s="187"/>
      <c r="I1074" s="187">
        <f>H1073</f>
        <v>100</v>
      </c>
      <c r="J1074" s="182"/>
      <c r="K1074" s="183" t="s">
        <v>6</v>
      </c>
      <c r="L1074" s="184"/>
      <c r="M1074" s="188"/>
      <c r="N1074" s="188"/>
      <c r="O1074" s="187"/>
      <c r="P1074" s="187">
        <f>O1073</f>
        <v>102.39959469417835</v>
      </c>
      <c r="Q1074" s="187">
        <f>(I1074+P1074)/2</f>
        <v>101.19979734708917</v>
      </c>
      <c r="R1074" s="191" t="s">
        <v>31</v>
      </c>
      <c r="S1074" s="579"/>
      <c r="T1074" s="123"/>
    </row>
    <row r="1075" spans="1:20" s="212" customFormat="1" ht="84" customHeight="1" x14ac:dyDescent="0.35">
      <c r="A1075" s="576">
        <v>62</v>
      </c>
      <c r="B1075" s="600" t="s">
        <v>174</v>
      </c>
      <c r="C1075" s="502" t="s">
        <v>12</v>
      </c>
      <c r="D1075" s="146" t="s">
        <v>128</v>
      </c>
      <c r="E1075" s="502"/>
      <c r="F1075" s="502"/>
      <c r="G1075" s="502"/>
      <c r="H1075" s="113"/>
      <c r="I1075" s="113"/>
      <c r="J1075" s="502" t="s">
        <v>12</v>
      </c>
      <c r="K1075" s="146" t="s">
        <v>128</v>
      </c>
      <c r="L1075" s="114"/>
      <c r="M1075" s="114"/>
      <c r="N1075" s="114"/>
      <c r="O1075" s="113"/>
      <c r="P1075" s="127"/>
      <c r="Q1075" s="113"/>
      <c r="R1075" s="114"/>
      <c r="S1075" s="579" t="s">
        <v>280</v>
      </c>
      <c r="T1075" s="211"/>
    </row>
    <row r="1076" spans="1:20" s="212" customFormat="1" ht="82.5" customHeight="1" x14ac:dyDescent="0.35">
      <c r="A1076" s="576"/>
      <c r="B1076" s="600"/>
      <c r="C1076" s="114" t="s">
        <v>7</v>
      </c>
      <c r="D1076" s="116" t="s">
        <v>129</v>
      </c>
      <c r="E1076" s="114" t="s">
        <v>25</v>
      </c>
      <c r="F1076" s="114">
        <v>100</v>
      </c>
      <c r="G1076" s="114">
        <v>100</v>
      </c>
      <c r="H1076" s="509">
        <f t="shared" ref="H1076:H1080" si="99">IF(G1076/F1076*100&gt;100,100,G1076/F1076*100)</f>
        <v>100</v>
      </c>
      <c r="I1076" s="114"/>
      <c r="J1076" s="114" t="s">
        <v>7</v>
      </c>
      <c r="K1076" s="116" t="s">
        <v>89</v>
      </c>
      <c r="L1076" s="114" t="s">
        <v>38</v>
      </c>
      <c r="M1076" s="114">
        <v>307</v>
      </c>
      <c r="N1076" s="114">
        <v>300</v>
      </c>
      <c r="O1076" s="115">
        <f>IF(N1076/M1076*100&gt;110,110,N1076/M1076*100)</f>
        <v>97.719869706840385</v>
      </c>
      <c r="P1076" s="127"/>
      <c r="Q1076" s="113"/>
      <c r="R1076" s="114"/>
      <c r="S1076" s="579"/>
      <c r="T1076" s="211"/>
    </row>
    <row r="1077" spans="1:20" s="212" customFormat="1" x14ac:dyDescent="0.35">
      <c r="A1077" s="576"/>
      <c r="B1077" s="600"/>
      <c r="C1077" s="114" t="s">
        <v>8</v>
      </c>
      <c r="D1077" s="116" t="s">
        <v>561</v>
      </c>
      <c r="E1077" s="114" t="s">
        <v>25</v>
      </c>
      <c r="F1077" s="114">
        <v>100</v>
      </c>
      <c r="G1077" s="114">
        <v>100</v>
      </c>
      <c r="H1077" s="509">
        <f t="shared" si="99"/>
        <v>100</v>
      </c>
      <c r="I1077" s="114"/>
      <c r="J1077" s="114"/>
      <c r="K1077" s="503"/>
      <c r="L1077" s="114"/>
      <c r="M1077" s="117"/>
      <c r="N1077" s="117"/>
      <c r="O1077" s="115"/>
      <c r="P1077" s="127"/>
      <c r="Q1077" s="113"/>
      <c r="R1077" s="114"/>
      <c r="S1077" s="579"/>
      <c r="T1077" s="211"/>
    </row>
    <row r="1078" spans="1:20" s="212" customFormat="1" ht="45" customHeight="1" x14ac:dyDescent="0.35">
      <c r="A1078" s="576"/>
      <c r="B1078" s="600"/>
      <c r="C1078" s="114" t="s">
        <v>9</v>
      </c>
      <c r="D1078" s="116" t="s">
        <v>468</v>
      </c>
      <c r="E1078" s="114" t="s">
        <v>25</v>
      </c>
      <c r="F1078" s="114">
        <v>100</v>
      </c>
      <c r="G1078" s="114">
        <v>100</v>
      </c>
      <c r="H1078" s="509">
        <f t="shared" si="99"/>
        <v>100</v>
      </c>
      <c r="I1078" s="114"/>
      <c r="J1078" s="118"/>
      <c r="K1078" s="116"/>
      <c r="L1078" s="114"/>
      <c r="M1078" s="119"/>
      <c r="N1078" s="119"/>
      <c r="O1078" s="115"/>
      <c r="P1078" s="127"/>
      <c r="Q1078" s="113"/>
      <c r="R1078" s="114"/>
      <c r="S1078" s="579"/>
      <c r="T1078" s="211"/>
    </row>
    <row r="1079" spans="1:20" s="212" customFormat="1" ht="61.5" customHeight="1" x14ac:dyDescent="0.35">
      <c r="A1079" s="576"/>
      <c r="B1079" s="600"/>
      <c r="C1079" s="114" t="s">
        <v>10</v>
      </c>
      <c r="D1079" s="116" t="s">
        <v>390</v>
      </c>
      <c r="E1079" s="114" t="s">
        <v>25</v>
      </c>
      <c r="F1079" s="114">
        <v>90</v>
      </c>
      <c r="G1079" s="114">
        <v>100</v>
      </c>
      <c r="H1079" s="509">
        <f t="shared" si="99"/>
        <v>100</v>
      </c>
      <c r="I1079" s="114"/>
      <c r="J1079" s="118"/>
      <c r="K1079" s="116"/>
      <c r="L1079" s="114"/>
      <c r="M1079" s="119"/>
      <c r="N1079" s="119"/>
      <c r="O1079" s="115"/>
      <c r="P1079" s="127"/>
      <c r="Q1079" s="113"/>
      <c r="R1079" s="114"/>
      <c r="S1079" s="579"/>
      <c r="T1079" s="211"/>
    </row>
    <row r="1080" spans="1:20" s="212" customFormat="1" ht="111.75" customHeight="1" x14ac:dyDescent="0.35">
      <c r="A1080" s="576"/>
      <c r="B1080" s="600"/>
      <c r="C1080" s="114" t="s">
        <v>35</v>
      </c>
      <c r="D1080" s="116" t="s">
        <v>130</v>
      </c>
      <c r="E1080" s="114" t="s">
        <v>25</v>
      </c>
      <c r="F1080" s="114">
        <v>100</v>
      </c>
      <c r="G1080" s="114">
        <v>100</v>
      </c>
      <c r="H1080" s="509">
        <f t="shared" si="99"/>
        <v>100</v>
      </c>
      <c r="I1080" s="114"/>
      <c r="J1080" s="118"/>
      <c r="K1080" s="116"/>
      <c r="L1080" s="114"/>
      <c r="M1080" s="119"/>
      <c r="N1080" s="119"/>
      <c r="O1080" s="115"/>
      <c r="P1080" s="127"/>
      <c r="Q1080" s="113"/>
      <c r="R1080" s="114"/>
      <c r="S1080" s="579"/>
      <c r="T1080" s="211"/>
    </row>
    <row r="1081" spans="1:20" s="124" customFormat="1" ht="40.5" customHeight="1" x14ac:dyDescent="0.35">
      <c r="A1081" s="576"/>
      <c r="B1081" s="600"/>
      <c r="C1081" s="191"/>
      <c r="D1081" s="183" t="s">
        <v>6</v>
      </c>
      <c r="E1081" s="191"/>
      <c r="F1081" s="184"/>
      <c r="G1081" s="184"/>
      <c r="H1081" s="187"/>
      <c r="I1081" s="187">
        <f>(H1076+H1077+H1078+H1079+H1080)/5</f>
        <v>100</v>
      </c>
      <c r="J1081" s="182"/>
      <c r="K1081" s="183" t="s">
        <v>6</v>
      </c>
      <c r="L1081" s="184"/>
      <c r="M1081" s="188"/>
      <c r="N1081" s="188"/>
      <c r="O1081" s="187"/>
      <c r="P1081" s="187">
        <f>O1076</f>
        <v>97.719869706840385</v>
      </c>
      <c r="Q1081" s="187">
        <f>(I1081+P1081)/2</f>
        <v>98.859934853420185</v>
      </c>
      <c r="R1081" s="191" t="s">
        <v>361</v>
      </c>
      <c r="S1081" s="579"/>
      <c r="T1081" s="123"/>
    </row>
    <row r="1082" spans="1:20" s="212" customFormat="1" ht="68.25" customHeight="1" x14ac:dyDescent="0.35">
      <c r="A1082" s="576"/>
      <c r="B1082" s="600"/>
      <c r="C1082" s="502" t="s">
        <v>13</v>
      </c>
      <c r="D1082" s="146" t="s">
        <v>131</v>
      </c>
      <c r="E1082" s="114"/>
      <c r="F1082" s="114"/>
      <c r="G1082" s="114"/>
      <c r="H1082" s="113"/>
      <c r="I1082" s="113"/>
      <c r="J1082" s="502" t="s">
        <v>13</v>
      </c>
      <c r="K1082" s="146" t="s">
        <v>131</v>
      </c>
      <c r="L1082" s="114"/>
      <c r="M1082" s="119"/>
      <c r="N1082" s="119"/>
      <c r="O1082" s="113"/>
      <c r="P1082" s="127"/>
      <c r="Q1082" s="113"/>
      <c r="R1082" s="114"/>
      <c r="S1082" s="579"/>
      <c r="T1082" s="211"/>
    </row>
    <row r="1083" spans="1:20" s="212" customFormat="1" ht="79.5" customHeight="1" x14ac:dyDescent="0.35">
      <c r="A1083" s="576"/>
      <c r="B1083" s="600"/>
      <c r="C1083" s="114" t="s">
        <v>14</v>
      </c>
      <c r="D1083" s="116" t="s">
        <v>132</v>
      </c>
      <c r="E1083" s="114" t="s">
        <v>25</v>
      </c>
      <c r="F1083" s="114">
        <v>100</v>
      </c>
      <c r="G1083" s="114">
        <v>100</v>
      </c>
      <c r="H1083" s="509">
        <f t="shared" ref="H1083:H1087" si="100">IF(G1083/F1083*100&gt;100,100,G1083/F1083*100)</f>
        <v>100</v>
      </c>
      <c r="I1083" s="114"/>
      <c r="J1083" s="118" t="s">
        <v>14</v>
      </c>
      <c r="K1083" s="116" t="s">
        <v>89</v>
      </c>
      <c r="L1083" s="114" t="s">
        <v>38</v>
      </c>
      <c r="M1083" s="114">
        <v>361</v>
      </c>
      <c r="N1083" s="114">
        <v>358</v>
      </c>
      <c r="O1083" s="115">
        <f>IF(N1083/M1083*100&gt;110,110,N1083/M1083*100)</f>
        <v>99.16897506925207</v>
      </c>
      <c r="P1083" s="114"/>
      <c r="Q1083" s="113"/>
      <c r="R1083" s="114"/>
      <c r="S1083" s="579"/>
      <c r="T1083" s="211"/>
    </row>
    <row r="1084" spans="1:20" s="212" customFormat="1" x14ac:dyDescent="0.35">
      <c r="A1084" s="576"/>
      <c r="B1084" s="600"/>
      <c r="C1084" s="114" t="s">
        <v>15</v>
      </c>
      <c r="D1084" s="116" t="s">
        <v>559</v>
      </c>
      <c r="E1084" s="114" t="s">
        <v>25</v>
      </c>
      <c r="F1084" s="114">
        <v>100</v>
      </c>
      <c r="G1084" s="114">
        <v>100</v>
      </c>
      <c r="H1084" s="509">
        <f t="shared" si="100"/>
        <v>100</v>
      </c>
      <c r="I1084" s="114"/>
      <c r="J1084" s="118"/>
      <c r="K1084" s="116"/>
      <c r="L1084" s="114"/>
      <c r="M1084" s="119"/>
      <c r="N1084" s="119"/>
      <c r="O1084" s="115"/>
      <c r="P1084" s="127"/>
      <c r="Q1084" s="113"/>
      <c r="R1084" s="114"/>
      <c r="S1084" s="579"/>
      <c r="T1084" s="211"/>
    </row>
    <row r="1085" spans="1:20" s="212" customFormat="1" ht="54.75" customHeight="1" x14ac:dyDescent="0.35">
      <c r="A1085" s="576"/>
      <c r="B1085" s="600"/>
      <c r="C1085" s="114" t="s">
        <v>39</v>
      </c>
      <c r="D1085" s="116" t="s">
        <v>468</v>
      </c>
      <c r="E1085" s="114" t="s">
        <v>25</v>
      </c>
      <c r="F1085" s="114">
        <v>100</v>
      </c>
      <c r="G1085" s="114">
        <v>100</v>
      </c>
      <c r="H1085" s="509">
        <f t="shared" si="100"/>
        <v>100</v>
      </c>
      <c r="I1085" s="114"/>
      <c r="J1085" s="118"/>
      <c r="K1085" s="116"/>
      <c r="L1085" s="114"/>
      <c r="M1085" s="119"/>
      <c r="N1085" s="119"/>
      <c r="O1085" s="115"/>
      <c r="P1085" s="127"/>
      <c r="Q1085" s="113"/>
      <c r="R1085" s="114"/>
      <c r="S1085" s="579"/>
      <c r="T1085" s="211"/>
    </row>
    <row r="1086" spans="1:20" s="212" customFormat="1" ht="57" customHeight="1" x14ac:dyDescent="0.35">
      <c r="A1086" s="576"/>
      <c r="B1086" s="600"/>
      <c r="C1086" s="114" t="s">
        <v>45</v>
      </c>
      <c r="D1086" s="116" t="s">
        <v>390</v>
      </c>
      <c r="E1086" s="114" t="s">
        <v>25</v>
      </c>
      <c r="F1086" s="114">
        <v>90</v>
      </c>
      <c r="G1086" s="114">
        <v>100</v>
      </c>
      <c r="H1086" s="509">
        <f t="shared" si="100"/>
        <v>100</v>
      </c>
      <c r="I1086" s="114"/>
      <c r="J1086" s="118"/>
      <c r="K1086" s="116"/>
      <c r="L1086" s="114"/>
      <c r="M1086" s="119"/>
      <c r="N1086" s="119"/>
      <c r="O1086" s="115"/>
      <c r="P1086" s="127"/>
      <c r="Q1086" s="113"/>
      <c r="R1086" s="114"/>
      <c r="S1086" s="579"/>
      <c r="T1086" s="211"/>
    </row>
    <row r="1087" spans="1:20" s="212" customFormat="1" ht="120.75" customHeight="1" x14ac:dyDescent="0.35">
      <c r="A1087" s="576"/>
      <c r="B1087" s="600"/>
      <c r="C1087" s="114" t="s">
        <v>66</v>
      </c>
      <c r="D1087" s="116" t="s">
        <v>130</v>
      </c>
      <c r="E1087" s="114" t="s">
        <v>25</v>
      </c>
      <c r="F1087" s="114">
        <v>100</v>
      </c>
      <c r="G1087" s="114">
        <v>100</v>
      </c>
      <c r="H1087" s="509">
        <f t="shared" si="100"/>
        <v>100</v>
      </c>
      <c r="I1087" s="114"/>
      <c r="J1087" s="118"/>
      <c r="K1087" s="116"/>
      <c r="L1087" s="114"/>
      <c r="M1087" s="119"/>
      <c r="N1087" s="119"/>
      <c r="O1087" s="115"/>
      <c r="P1087" s="127"/>
      <c r="Q1087" s="113"/>
      <c r="R1087" s="114"/>
      <c r="S1087" s="579"/>
      <c r="T1087" s="211"/>
    </row>
    <row r="1088" spans="1:20" s="124" customFormat="1" ht="40.5" customHeight="1" x14ac:dyDescent="0.35">
      <c r="A1088" s="576"/>
      <c r="B1088" s="600"/>
      <c r="C1088" s="191"/>
      <c r="D1088" s="183" t="s">
        <v>6</v>
      </c>
      <c r="E1088" s="191"/>
      <c r="F1088" s="184"/>
      <c r="G1088" s="184"/>
      <c r="H1088" s="187"/>
      <c r="I1088" s="187">
        <f>(H1083+H1084+H1085+H1086+H1087)/5</f>
        <v>100</v>
      </c>
      <c r="J1088" s="182"/>
      <c r="K1088" s="183" t="s">
        <v>6</v>
      </c>
      <c r="L1088" s="184"/>
      <c r="M1088" s="188"/>
      <c r="N1088" s="188"/>
      <c r="O1088" s="187"/>
      <c r="P1088" s="187">
        <f>O1083</f>
        <v>99.16897506925207</v>
      </c>
      <c r="Q1088" s="187">
        <f>(I1088+P1088)/2</f>
        <v>99.584487534626035</v>
      </c>
      <c r="R1088" s="191" t="s">
        <v>361</v>
      </c>
      <c r="S1088" s="579"/>
      <c r="T1088" s="123"/>
    </row>
    <row r="1089" spans="1:20" s="212" customFormat="1" ht="60" customHeight="1" x14ac:dyDescent="0.35">
      <c r="A1089" s="576"/>
      <c r="B1089" s="600"/>
      <c r="C1089" s="502" t="s">
        <v>28</v>
      </c>
      <c r="D1089" s="146" t="s">
        <v>133</v>
      </c>
      <c r="E1089" s="114"/>
      <c r="F1089" s="114"/>
      <c r="G1089" s="114"/>
      <c r="H1089" s="113"/>
      <c r="I1089" s="113"/>
      <c r="J1089" s="502" t="s">
        <v>28</v>
      </c>
      <c r="K1089" s="146" t="str">
        <f>D1089</f>
        <v>Реализация основных общеобразовательных программ среднего общего образования</v>
      </c>
      <c r="L1089" s="114"/>
      <c r="M1089" s="119"/>
      <c r="N1089" s="119"/>
      <c r="O1089" s="113"/>
      <c r="P1089" s="127"/>
      <c r="Q1089" s="113"/>
      <c r="R1089" s="114"/>
      <c r="S1089" s="579"/>
      <c r="T1089" s="211"/>
    </row>
    <row r="1090" spans="1:20" s="212" customFormat="1" ht="87.75" customHeight="1" x14ac:dyDescent="0.35">
      <c r="A1090" s="576"/>
      <c r="B1090" s="600"/>
      <c r="C1090" s="114" t="s">
        <v>29</v>
      </c>
      <c r="D1090" s="116" t="s">
        <v>134</v>
      </c>
      <c r="E1090" s="114" t="s">
        <v>25</v>
      </c>
      <c r="F1090" s="114">
        <v>100</v>
      </c>
      <c r="G1090" s="114">
        <v>100</v>
      </c>
      <c r="H1090" s="509">
        <f t="shared" ref="H1090:H1094" si="101">IF(G1090/F1090*100&gt;100,100,G1090/F1090*100)</f>
        <v>100</v>
      </c>
      <c r="I1090" s="114"/>
      <c r="J1090" s="118" t="s">
        <v>29</v>
      </c>
      <c r="K1090" s="116" t="s">
        <v>89</v>
      </c>
      <c r="L1090" s="114" t="s">
        <v>38</v>
      </c>
      <c r="M1090" s="114">
        <v>64</v>
      </c>
      <c r="N1090" s="114">
        <v>64</v>
      </c>
      <c r="O1090" s="115">
        <f>IF(N1090/M1090*100&gt;110,110,N1090/M1090*100)</f>
        <v>100</v>
      </c>
      <c r="P1090" s="114"/>
      <c r="Q1090" s="113"/>
      <c r="R1090" s="114"/>
      <c r="S1090" s="579"/>
      <c r="T1090" s="211"/>
    </row>
    <row r="1091" spans="1:20" s="212" customFormat="1" x14ac:dyDescent="0.35">
      <c r="A1091" s="576"/>
      <c r="B1091" s="600"/>
      <c r="C1091" s="114" t="s">
        <v>30</v>
      </c>
      <c r="D1091" s="116" t="s">
        <v>560</v>
      </c>
      <c r="E1091" s="114" t="s">
        <v>25</v>
      </c>
      <c r="F1091" s="114">
        <v>100</v>
      </c>
      <c r="G1091" s="114">
        <v>100</v>
      </c>
      <c r="H1091" s="509">
        <f t="shared" si="101"/>
        <v>100</v>
      </c>
      <c r="I1091" s="114"/>
      <c r="J1091" s="118"/>
      <c r="K1091" s="116"/>
      <c r="L1091" s="114"/>
      <c r="M1091" s="119"/>
      <c r="N1091" s="119"/>
      <c r="O1091" s="115"/>
      <c r="P1091" s="127"/>
      <c r="Q1091" s="113"/>
      <c r="R1091" s="114"/>
      <c r="S1091" s="579"/>
      <c r="T1091" s="211"/>
    </row>
    <row r="1092" spans="1:20" s="212" customFormat="1" ht="41.25" customHeight="1" x14ac:dyDescent="0.35">
      <c r="A1092" s="576"/>
      <c r="B1092" s="600"/>
      <c r="C1092" s="114" t="s">
        <v>52</v>
      </c>
      <c r="D1092" s="116" t="s">
        <v>468</v>
      </c>
      <c r="E1092" s="114" t="s">
        <v>389</v>
      </c>
      <c r="F1092" s="114">
        <v>100</v>
      </c>
      <c r="G1092" s="114">
        <v>100</v>
      </c>
      <c r="H1092" s="509">
        <f t="shared" si="101"/>
        <v>100</v>
      </c>
      <c r="I1092" s="114"/>
      <c r="J1092" s="118"/>
      <c r="K1092" s="116"/>
      <c r="L1092" s="114"/>
      <c r="M1092" s="119"/>
      <c r="N1092" s="119"/>
      <c r="O1092" s="115"/>
      <c r="P1092" s="127"/>
      <c r="Q1092" s="113"/>
      <c r="R1092" s="114"/>
      <c r="S1092" s="579"/>
      <c r="T1092" s="211"/>
    </row>
    <row r="1093" spans="1:20" s="212" customFormat="1" ht="60" customHeight="1" x14ac:dyDescent="0.35">
      <c r="A1093" s="576"/>
      <c r="B1093" s="600"/>
      <c r="C1093" s="114" t="s">
        <v>53</v>
      </c>
      <c r="D1093" s="116" t="s">
        <v>390</v>
      </c>
      <c r="E1093" s="114" t="s">
        <v>25</v>
      </c>
      <c r="F1093" s="114">
        <v>90</v>
      </c>
      <c r="G1093" s="114">
        <v>100</v>
      </c>
      <c r="H1093" s="509">
        <f t="shared" si="101"/>
        <v>100</v>
      </c>
      <c r="I1093" s="114"/>
      <c r="J1093" s="118"/>
      <c r="K1093" s="116"/>
      <c r="L1093" s="114"/>
      <c r="M1093" s="119"/>
      <c r="N1093" s="119"/>
      <c r="O1093" s="115"/>
      <c r="P1093" s="127"/>
      <c r="Q1093" s="113"/>
      <c r="R1093" s="114"/>
      <c r="S1093" s="579"/>
      <c r="T1093" s="211"/>
    </row>
    <row r="1094" spans="1:20" s="212" customFormat="1" ht="129.75" customHeight="1" x14ac:dyDescent="0.35">
      <c r="A1094" s="576"/>
      <c r="B1094" s="600"/>
      <c r="C1094" s="114" t="s">
        <v>135</v>
      </c>
      <c r="D1094" s="116" t="s">
        <v>130</v>
      </c>
      <c r="E1094" s="114" t="s">
        <v>25</v>
      </c>
      <c r="F1094" s="114">
        <v>100</v>
      </c>
      <c r="G1094" s="114">
        <v>100</v>
      </c>
      <c r="H1094" s="509">
        <f t="shared" si="101"/>
        <v>100</v>
      </c>
      <c r="I1094" s="114"/>
      <c r="J1094" s="118"/>
      <c r="K1094" s="116"/>
      <c r="L1094" s="114"/>
      <c r="M1094" s="119"/>
      <c r="N1094" s="119"/>
      <c r="O1094" s="115"/>
      <c r="P1094" s="127"/>
      <c r="Q1094" s="113"/>
      <c r="R1094" s="114"/>
      <c r="S1094" s="579"/>
      <c r="T1094" s="211"/>
    </row>
    <row r="1095" spans="1:20" s="124" customFormat="1" ht="40.5" customHeight="1" x14ac:dyDescent="0.35">
      <c r="A1095" s="576"/>
      <c r="B1095" s="600"/>
      <c r="C1095" s="191"/>
      <c r="D1095" s="183" t="s">
        <v>6</v>
      </c>
      <c r="E1095" s="191"/>
      <c r="F1095" s="184"/>
      <c r="G1095" s="184"/>
      <c r="H1095" s="187"/>
      <c r="I1095" s="187">
        <f>(H1090+H1091+H1092+H1093+H1094)/5</f>
        <v>100</v>
      </c>
      <c r="J1095" s="182"/>
      <c r="K1095" s="183" t="s">
        <v>6</v>
      </c>
      <c r="L1095" s="184"/>
      <c r="M1095" s="188"/>
      <c r="N1095" s="188"/>
      <c r="O1095" s="187"/>
      <c r="P1095" s="187">
        <f>O1090</f>
        <v>100</v>
      </c>
      <c r="Q1095" s="187">
        <f>(I1095+P1095)/2</f>
        <v>100</v>
      </c>
      <c r="R1095" s="191" t="s">
        <v>31</v>
      </c>
      <c r="S1095" s="579"/>
      <c r="T1095" s="123"/>
    </row>
    <row r="1096" spans="1:20" s="212" customFormat="1" x14ac:dyDescent="0.35">
      <c r="A1096" s="576"/>
      <c r="B1096" s="600"/>
      <c r="C1096" s="502" t="s">
        <v>42</v>
      </c>
      <c r="D1096" s="146" t="s">
        <v>90</v>
      </c>
      <c r="E1096" s="114"/>
      <c r="F1096" s="114"/>
      <c r="G1096" s="114"/>
      <c r="H1096" s="113"/>
      <c r="I1096" s="113"/>
      <c r="J1096" s="502" t="s">
        <v>42</v>
      </c>
      <c r="K1096" s="146" t="s">
        <v>90</v>
      </c>
      <c r="L1096" s="114"/>
      <c r="M1096" s="119"/>
      <c r="N1096" s="119"/>
      <c r="O1096" s="113"/>
      <c r="P1096" s="127"/>
      <c r="Q1096" s="113"/>
      <c r="R1096" s="114"/>
      <c r="S1096" s="579"/>
      <c r="T1096" s="211"/>
    </row>
    <row r="1097" spans="1:20" s="212" customFormat="1" ht="48.75" customHeight="1" x14ac:dyDescent="0.35">
      <c r="A1097" s="576"/>
      <c r="B1097" s="600"/>
      <c r="C1097" s="114" t="s">
        <v>43</v>
      </c>
      <c r="D1097" s="116" t="s">
        <v>136</v>
      </c>
      <c r="E1097" s="114" t="s">
        <v>25</v>
      </c>
      <c r="F1097" s="114">
        <v>100</v>
      </c>
      <c r="G1097" s="114">
        <v>100</v>
      </c>
      <c r="H1097" s="509">
        <f t="shared" ref="H1097:H1098" si="102">IF(G1097/F1097*100&gt;100,100,G1097/F1097*100)</f>
        <v>100</v>
      </c>
      <c r="I1097" s="114"/>
      <c r="J1097" s="118" t="s">
        <v>43</v>
      </c>
      <c r="K1097" s="116" t="s">
        <v>89</v>
      </c>
      <c r="L1097" s="114" t="s">
        <v>38</v>
      </c>
      <c r="M1097" s="114">
        <v>152</v>
      </c>
      <c r="N1097" s="114">
        <v>152</v>
      </c>
      <c r="O1097" s="115">
        <f>IF(N1097/M1097*100&gt;110,110,N1097/M1097*100)</f>
        <v>100</v>
      </c>
      <c r="P1097" s="127"/>
      <c r="Q1097" s="113"/>
      <c r="R1097" s="114"/>
      <c r="S1097" s="579"/>
      <c r="T1097" s="211"/>
    </row>
    <row r="1098" spans="1:20" s="212" customFormat="1" ht="82.5" customHeight="1" x14ac:dyDescent="0.35">
      <c r="A1098" s="576"/>
      <c r="B1098" s="600"/>
      <c r="C1098" s="114" t="s">
        <v>137</v>
      </c>
      <c r="D1098" s="116" t="s">
        <v>138</v>
      </c>
      <c r="E1098" s="114" t="s">
        <v>25</v>
      </c>
      <c r="F1098" s="114">
        <v>90</v>
      </c>
      <c r="G1098" s="114">
        <v>90</v>
      </c>
      <c r="H1098" s="509">
        <f t="shared" si="102"/>
        <v>100</v>
      </c>
      <c r="I1098" s="114"/>
      <c r="J1098" s="118"/>
      <c r="K1098" s="116"/>
      <c r="L1098" s="114"/>
      <c r="M1098" s="119"/>
      <c r="N1098" s="119"/>
      <c r="O1098" s="115"/>
      <c r="P1098" s="127"/>
      <c r="Q1098" s="113"/>
      <c r="R1098" s="114"/>
      <c r="S1098" s="579"/>
      <c r="T1098" s="211"/>
    </row>
    <row r="1099" spans="1:20" s="212" customFormat="1" ht="40.5" customHeight="1" x14ac:dyDescent="0.35">
      <c r="A1099" s="576"/>
      <c r="B1099" s="600"/>
      <c r="C1099" s="191"/>
      <c r="D1099" s="183" t="s">
        <v>6</v>
      </c>
      <c r="E1099" s="191"/>
      <c r="F1099" s="184"/>
      <c r="G1099" s="184"/>
      <c r="H1099" s="187"/>
      <c r="I1099" s="187">
        <f>(H1097+H1098)/2</f>
        <v>100</v>
      </c>
      <c r="J1099" s="182"/>
      <c r="K1099" s="183" t="s">
        <v>6</v>
      </c>
      <c r="L1099" s="184"/>
      <c r="M1099" s="188"/>
      <c r="N1099" s="188"/>
      <c r="O1099" s="187"/>
      <c r="P1099" s="187">
        <f>O1097</f>
        <v>100</v>
      </c>
      <c r="Q1099" s="187">
        <f>(I1099+P1099)/2</f>
        <v>100</v>
      </c>
      <c r="R1099" s="191" t="s">
        <v>31</v>
      </c>
      <c r="S1099" s="579"/>
      <c r="T1099" s="211"/>
    </row>
    <row r="1100" spans="1:20" s="212" customFormat="1" ht="69.75" customHeight="1" x14ac:dyDescent="0.35">
      <c r="A1100" s="576"/>
      <c r="B1100" s="600"/>
      <c r="C1100" s="502" t="s">
        <v>164</v>
      </c>
      <c r="D1100" s="146" t="s">
        <v>211</v>
      </c>
      <c r="E1100" s="114"/>
      <c r="F1100" s="114"/>
      <c r="G1100" s="114"/>
      <c r="H1100" s="113"/>
      <c r="I1100" s="113"/>
      <c r="J1100" s="502" t="s">
        <v>164</v>
      </c>
      <c r="K1100" s="146" t="str">
        <f>D1100</f>
        <v>Реализация дополнительных общеразвивающих программ</v>
      </c>
      <c r="L1100" s="114"/>
      <c r="M1100" s="119"/>
      <c r="N1100" s="119"/>
      <c r="O1100" s="113"/>
      <c r="P1100" s="127"/>
      <c r="Q1100" s="113"/>
      <c r="R1100" s="114"/>
      <c r="S1100" s="579"/>
      <c r="T1100" s="211"/>
    </row>
    <row r="1101" spans="1:20" s="212" customFormat="1" ht="96.75" customHeight="1" x14ac:dyDescent="0.35">
      <c r="A1101" s="576"/>
      <c r="B1101" s="600"/>
      <c r="C1101" s="114" t="s">
        <v>165</v>
      </c>
      <c r="D1101" s="116" t="s">
        <v>138</v>
      </c>
      <c r="E1101" s="114" t="s">
        <v>25</v>
      </c>
      <c r="F1101" s="114">
        <v>90</v>
      </c>
      <c r="G1101" s="114">
        <v>90</v>
      </c>
      <c r="H1101" s="509">
        <f>IF(G1101/F1101*100&gt;100,100,G1101/F1101*100)</f>
        <v>100</v>
      </c>
      <c r="I1101" s="114"/>
      <c r="J1101" s="114" t="s">
        <v>165</v>
      </c>
      <c r="K1101" s="116" t="s">
        <v>469</v>
      </c>
      <c r="L1101" s="114" t="s">
        <v>339</v>
      </c>
      <c r="M1101" s="114">
        <v>50592</v>
      </c>
      <c r="N1101" s="114">
        <v>48558</v>
      </c>
      <c r="O1101" s="115">
        <f>IF(N1101/M1101*100&gt;110,110,N1101/M1101*100)</f>
        <v>95.97960151802657</v>
      </c>
      <c r="P1101" s="127"/>
      <c r="Q1101" s="113"/>
      <c r="R1101" s="114"/>
      <c r="S1101" s="579"/>
      <c r="T1101" s="211"/>
    </row>
    <row r="1102" spans="1:20" s="124" customFormat="1" ht="39" customHeight="1" x14ac:dyDescent="0.35">
      <c r="A1102" s="576"/>
      <c r="B1102" s="600"/>
      <c r="C1102" s="191"/>
      <c r="D1102" s="183" t="s">
        <v>6</v>
      </c>
      <c r="E1102" s="191"/>
      <c r="F1102" s="184"/>
      <c r="G1102" s="184"/>
      <c r="H1102" s="187"/>
      <c r="I1102" s="187">
        <f>H1101</f>
        <v>100</v>
      </c>
      <c r="J1102" s="182"/>
      <c r="K1102" s="183" t="s">
        <v>6</v>
      </c>
      <c r="L1102" s="184"/>
      <c r="M1102" s="188"/>
      <c r="N1102" s="188"/>
      <c r="O1102" s="187"/>
      <c r="P1102" s="187">
        <f>O1101</f>
        <v>95.97960151802657</v>
      </c>
      <c r="Q1102" s="187">
        <f>(I1102+P1102)/2</f>
        <v>97.989800759013292</v>
      </c>
      <c r="R1102" s="191" t="s">
        <v>361</v>
      </c>
      <c r="S1102" s="579"/>
      <c r="T1102" s="123"/>
    </row>
    <row r="1103" spans="1:20" s="212" customFormat="1" ht="66" customHeight="1" x14ac:dyDescent="0.35">
      <c r="A1103" s="576">
        <v>63</v>
      </c>
      <c r="B1103" s="600" t="s">
        <v>175</v>
      </c>
      <c r="C1103" s="502" t="s">
        <v>12</v>
      </c>
      <c r="D1103" s="146" t="s">
        <v>128</v>
      </c>
      <c r="E1103" s="502"/>
      <c r="F1103" s="502"/>
      <c r="G1103" s="502"/>
      <c r="H1103" s="113"/>
      <c r="I1103" s="113"/>
      <c r="J1103" s="502" t="s">
        <v>12</v>
      </c>
      <c r="K1103" s="146" t="s">
        <v>128</v>
      </c>
      <c r="L1103" s="114"/>
      <c r="M1103" s="114"/>
      <c r="N1103" s="114"/>
      <c r="O1103" s="113"/>
      <c r="P1103" s="127"/>
      <c r="Q1103" s="113"/>
      <c r="R1103" s="114"/>
      <c r="S1103" s="579" t="s">
        <v>279</v>
      </c>
      <c r="T1103" s="211"/>
    </row>
    <row r="1104" spans="1:20" s="212" customFormat="1" ht="73.5" customHeight="1" x14ac:dyDescent="0.35">
      <c r="A1104" s="576"/>
      <c r="B1104" s="600"/>
      <c r="C1104" s="114" t="s">
        <v>7</v>
      </c>
      <c r="D1104" s="116" t="s">
        <v>129</v>
      </c>
      <c r="E1104" s="114" t="s">
        <v>25</v>
      </c>
      <c r="F1104" s="114">
        <v>100</v>
      </c>
      <c r="G1104" s="114">
        <v>100</v>
      </c>
      <c r="H1104" s="509">
        <f t="shared" ref="H1104:H1108" si="103">IF(G1104/F1104*100&gt;100,100,G1104/F1104*100)</f>
        <v>100</v>
      </c>
      <c r="I1104" s="114"/>
      <c r="J1104" s="114" t="s">
        <v>7</v>
      </c>
      <c r="K1104" s="116" t="s">
        <v>89</v>
      </c>
      <c r="L1104" s="114" t="s">
        <v>38</v>
      </c>
      <c r="M1104" s="114">
        <v>261</v>
      </c>
      <c r="N1104" s="114">
        <v>264</v>
      </c>
      <c r="O1104" s="115">
        <f>IF(N1104/M1104*100&gt;110,110,N1104/M1104*100)</f>
        <v>101.14942528735634</v>
      </c>
      <c r="P1104" s="127"/>
      <c r="Q1104" s="113"/>
      <c r="R1104" s="114"/>
      <c r="S1104" s="579"/>
      <c r="T1104" s="211"/>
    </row>
    <row r="1105" spans="1:20" s="212" customFormat="1" x14ac:dyDescent="0.35">
      <c r="A1105" s="576"/>
      <c r="B1105" s="600"/>
      <c r="C1105" s="114" t="s">
        <v>8</v>
      </c>
      <c r="D1105" s="116" t="s">
        <v>561</v>
      </c>
      <c r="E1105" s="114" t="s">
        <v>25</v>
      </c>
      <c r="F1105" s="114">
        <v>100</v>
      </c>
      <c r="G1105" s="114">
        <v>100</v>
      </c>
      <c r="H1105" s="509">
        <f t="shared" si="103"/>
        <v>100</v>
      </c>
      <c r="I1105" s="114"/>
      <c r="J1105" s="114"/>
      <c r="K1105" s="503"/>
      <c r="L1105" s="114"/>
      <c r="M1105" s="117"/>
      <c r="N1105" s="117"/>
      <c r="O1105" s="115"/>
      <c r="P1105" s="127"/>
      <c r="Q1105" s="113"/>
      <c r="R1105" s="114"/>
      <c r="S1105" s="579"/>
      <c r="T1105" s="211"/>
    </row>
    <row r="1106" spans="1:20" s="212" customFormat="1" ht="45.75" customHeight="1" x14ac:dyDescent="0.35">
      <c r="A1106" s="576"/>
      <c r="B1106" s="600"/>
      <c r="C1106" s="114" t="s">
        <v>9</v>
      </c>
      <c r="D1106" s="116" t="s">
        <v>468</v>
      </c>
      <c r="E1106" s="114" t="s">
        <v>389</v>
      </c>
      <c r="F1106" s="114">
        <v>100</v>
      </c>
      <c r="G1106" s="114">
        <v>100</v>
      </c>
      <c r="H1106" s="509">
        <f t="shared" si="103"/>
        <v>100</v>
      </c>
      <c r="I1106" s="114"/>
      <c r="J1106" s="118"/>
      <c r="K1106" s="116"/>
      <c r="L1106" s="114"/>
      <c r="M1106" s="119"/>
      <c r="N1106" s="119"/>
      <c r="O1106" s="115"/>
      <c r="P1106" s="127"/>
      <c r="Q1106" s="113"/>
      <c r="R1106" s="114"/>
      <c r="S1106" s="579"/>
      <c r="T1106" s="211"/>
    </row>
    <row r="1107" spans="1:20" s="212" customFormat="1" ht="61.5" customHeight="1" x14ac:dyDescent="0.35">
      <c r="A1107" s="576"/>
      <c r="B1107" s="600"/>
      <c r="C1107" s="114" t="s">
        <v>10</v>
      </c>
      <c r="D1107" s="116" t="s">
        <v>390</v>
      </c>
      <c r="E1107" s="114" t="s">
        <v>25</v>
      </c>
      <c r="F1107" s="114">
        <v>90</v>
      </c>
      <c r="G1107" s="114">
        <v>100</v>
      </c>
      <c r="H1107" s="509">
        <f t="shared" si="103"/>
        <v>100</v>
      </c>
      <c r="I1107" s="114"/>
      <c r="J1107" s="118"/>
      <c r="K1107" s="116"/>
      <c r="L1107" s="114"/>
      <c r="M1107" s="119"/>
      <c r="N1107" s="119"/>
      <c r="O1107" s="115"/>
      <c r="P1107" s="127"/>
      <c r="Q1107" s="113"/>
      <c r="R1107" s="114"/>
      <c r="S1107" s="579"/>
      <c r="T1107" s="211"/>
    </row>
    <row r="1108" spans="1:20" s="212" customFormat="1" ht="128.25" customHeight="1" x14ac:dyDescent="0.35">
      <c r="A1108" s="576"/>
      <c r="B1108" s="600"/>
      <c r="C1108" s="114" t="s">
        <v>35</v>
      </c>
      <c r="D1108" s="116" t="s">
        <v>130</v>
      </c>
      <c r="E1108" s="114" t="s">
        <v>25</v>
      </c>
      <c r="F1108" s="114">
        <v>100</v>
      </c>
      <c r="G1108" s="114">
        <v>100</v>
      </c>
      <c r="H1108" s="509">
        <f t="shared" si="103"/>
        <v>100</v>
      </c>
      <c r="I1108" s="114"/>
      <c r="J1108" s="118"/>
      <c r="K1108" s="116"/>
      <c r="L1108" s="114"/>
      <c r="M1108" s="119"/>
      <c r="N1108" s="119"/>
      <c r="O1108" s="115"/>
      <c r="P1108" s="127"/>
      <c r="Q1108" s="113"/>
      <c r="R1108" s="114"/>
      <c r="S1108" s="579"/>
      <c r="T1108" s="211"/>
    </row>
    <row r="1109" spans="1:20" s="124" customFormat="1" ht="40.5" customHeight="1" x14ac:dyDescent="0.35">
      <c r="A1109" s="576"/>
      <c r="B1109" s="600"/>
      <c r="C1109" s="191"/>
      <c r="D1109" s="183" t="s">
        <v>6</v>
      </c>
      <c r="E1109" s="191"/>
      <c r="F1109" s="184"/>
      <c r="G1109" s="184"/>
      <c r="H1109" s="187"/>
      <c r="I1109" s="187">
        <f>(H1104+H1105+H1106+H1107+H1108)/5</f>
        <v>100</v>
      </c>
      <c r="J1109" s="182"/>
      <c r="K1109" s="183" t="s">
        <v>6</v>
      </c>
      <c r="L1109" s="184"/>
      <c r="M1109" s="188"/>
      <c r="N1109" s="188"/>
      <c r="O1109" s="187"/>
      <c r="P1109" s="187">
        <f>O1104</f>
        <v>101.14942528735634</v>
      </c>
      <c r="Q1109" s="187">
        <f>(I1109+P1109)/2</f>
        <v>100.57471264367817</v>
      </c>
      <c r="R1109" s="191" t="s">
        <v>31</v>
      </c>
      <c r="S1109" s="579"/>
      <c r="T1109" s="123"/>
    </row>
    <row r="1110" spans="1:20" s="212" customFormat="1" ht="60" customHeight="1" x14ac:dyDescent="0.35">
      <c r="A1110" s="576"/>
      <c r="B1110" s="600"/>
      <c r="C1110" s="502" t="s">
        <v>13</v>
      </c>
      <c r="D1110" s="146" t="s">
        <v>131</v>
      </c>
      <c r="E1110" s="114"/>
      <c r="F1110" s="114"/>
      <c r="G1110" s="114"/>
      <c r="H1110" s="113"/>
      <c r="I1110" s="113"/>
      <c r="J1110" s="502" t="s">
        <v>13</v>
      </c>
      <c r="K1110" s="146" t="s">
        <v>131</v>
      </c>
      <c r="L1110" s="114"/>
      <c r="M1110" s="119"/>
      <c r="N1110" s="119"/>
      <c r="O1110" s="113"/>
      <c r="P1110" s="127"/>
      <c r="Q1110" s="113"/>
      <c r="R1110" s="114"/>
      <c r="S1110" s="579"/>
      <c r="T1110" s="211"/>
    </row>
    <row r="1111" spans="1:20" s="212" customFormat="1" ht="78" customHeight="1" x14ac:dyDescent="0.35">
      <c r="A1111" s="576"/>
      <c r="B1111" s="600"/>
      <c r="C1111" s="114" t="s">
        <v>14</v>
      </c>
      <c r="D1111" s="116" t="s">
        <v>132</v>
      </c>
      <c r="E1111" s="114" t="s">
        <v>25</v>
      </c>
      <c r="F1111" s="114">
        <v>100</v>
      </c>
      <c r="G1111" s="114">
        <v>100</v>
      </c>
      <c r="H1111" s="509">
        <f t="shared" ref="H1111:H1115" si="104">IF(G1111/F1111*100&gt;100,100,G1111/F1111*100)</f>
        <v>100</v>
      </c>
      <c r="I1111" s="114"/>
      <c r="J1111" s="118" t="s">
        <v>14</v>
      </c>
      <c r="K1111" s="116" t="s">
        <v>89</v>
      </c>
      <c r="L1111" s="114" t="s">
        <v>38</v>
      </c>
      <c r="M1111" s="114">
        <v>289</v>
      </c>
      <c r="N1111" s="114">
        <v>300</v>
      </c>
      <c r="O1111" s="115">
        <f>IF(N1111/M1111*100&gt;110,110,N1111/M1111*100)</f>
        <v>103.80622837370241</v>
      </c>
      <c r="P1111" s="114"/>
      <c r="Q1111" s="113"/>
      <c r="R1111" s="114"/>
      <c r="S1111" s="579"/>
      <c r="T1111" s="211"/>
    </row>
    <row r="1112" spans="1:20" s="212" customFormat="1" x14ac:dyDescent="0.35">
      <c r="A1112" s="576"/>
      <c r="B1112" s="600"/>
      <c r="C1112" s="114" t="s">
        <v>15</v>
      </c>
      <c r="D1112" s="116" t="s">
        <v>559</v>
      </c>
      <c r="E1112" s="114" t="s">
        <v>25</v>
      </c>
      <c r="F1112" s="114">
        <v>100</v>
      </c>
      <c r="G1112" s="114">
        <v>100</v>
      </c>
      <c r="H1112" s="509">
        <f t="shared" si="104"/>
        <v>100</v>
      </c>
      <c r="I1112" s="114"/>
      <c r="J1112" s="118"/>
      <c r="K1112" s="116"/>
      <c r="L1112" s="114"/>
      <c r="M1112" s="119"/>
      <c r="N1112" s="119"/>
      <c r="O1112" s="115"/>
      <c r="P1112" s="127"/>
      <c r="Q1112" s="113"/>
      <c r="R1112" s="114"/>
      <c r="S1112" s="579"/>
      <c r="T1112" s="211"/>
    </row>
    <row r="1113" spans="1:20" s="212" customFormat="1" ht="45" customHeight="1" x14ac:dyDescent="0.35">
      <c r="A1113" s="576"/>
      <c r="B1113" s="600"/>
      <c r="C1113" s="114" t="s">
        <v>39</v>
      </c>
      <c r="D1113" s="116" t="s">
        <v>468</v>
      </c>
      <c r="E1113" s="114" t="s">
        <v>389</v>
      </c>
      <c r="F1113" s="114">
        <v>100</v>
      </c>
      <c r="G1113" s="114">
        <v>100</v>
      </c>
      <c r="H1113" s="509">
        <f t="shared" si="104"/>
        <v>100</v>
      </c>
      <c r="I1113" s="114"/>
      <c r="J1113" s="118"/>
      <c r="K1113" s="116"/>
      <c r="L1113" s="114"/>
      <c r="M1113" s="119"/>
      <c r="N1113" s="119"/>
      <c r="O1113" s="115"/>
      <c r="P1113" s="127"/>
      <c r="Q1113" s="113"/>
      <c r="R1113" s="114"/>
      <c r="S1113" s="579"/>
      <c r="T1113" s="211"/>
    </row>
    <row r="1114" spans="1:20" s="212" customFormat="1" ht="70.5" customHeight="1" x14ac:dyDescent="0.35">
      <c r="A1114" s="576"/>
      <c r="B1114" s="600"/>
      <c r="C1114" s="114" t="s">
        <v>45</v>
      </c>
      <c r="D1114" s="116" t="s">
        <v>390</v>
      </c>
      <c r="E1114" s="114" t="s">
        <v>25</v>
      </c>
      <c r="F1114" s="114">
        <v>90</v>
      </c>
      <c r="G1114" s="114">
        <v>100</v>
      </c>
      <c r="H1114" s="509">
        <f t="shared" si="104"/>
        <v>100</v>
      </c>
      <c r="I1114" s="114"/>
      <c r="J1114" s="118"/>
      <c r="K1114" s="116"/>
      <c r="L1114" s="114"/>
      <c r="M1114" s="119"/>
      <c r="N1114" s="119"/>
      <c r="O1114" s="115"/>
      <c r="P1114" s="127"/>
      <c r="Q1114" s="113"/>
      <c r="R1114" s="114"/>
      <c r="S1114" s="579"/>
      <c r="T1114" s="211"/>
    </row>
    <row r="1115" spans="1:20" s="212" customFormat="1" ht="131.25" customHeight="1" x14ac:dyDescent="0.35">
      <c r="A1115" s="576"/>
      <c r="B1115" s="600"/>
      <c r="C1115" s="114" t="s">
        <v>66</v>
      </c>
      <c r="D1115" s="116" t="s">
        <v>130</v>
      </c>
      <c r="E1115" s="114" t="s">
        <v>25</v>
      </c>
      <c r="F1115" s="114">
        <v>100</v>
      </c>
      <c r="G1115" s="114">
        <v>100</v>
      </c>
      <c r="H1115" s="509">
        <f t="shared" si="104"/>
        <v>100</v>
      </c>
      <c r="I1115" s="114"/>
      <c r="J1115" s="118"/>
      <c r="K1115" s="116"/>
      <c r="L1115" s="114"/>
      <c r="M1115" s="119"/>
      <c r="N1115" s="119"/>
      <c r="O1115" s="115"/>
      <c r="P1115" s="127"/>
      <c r="Q1115" s="113"/>
      <c r="R1115" s="114"/>
      <c r="S1115" s="579"/>
      <c r="T1115" s="211"/>
    </row>
    <row r="1116" spans="1:20" s="124" customFormat="1" ht="40.5" customHeight="1" x14ac:dyDescent="0.35">
      <c r="A1116" s="576"/>
      <c r="B1116" s="600"/>
      <c r="C1116" s="191"/>
      <c r="D1116" s="183" t="s">
        <v>6</v>
      </c>
      <c r="E1116" s="191"/>
      <c r="F1116" s="184"/>
      <c r="G1116" s="184"/>
      <c r="H1116" s="187"/>
      <c r="I1116" s="187">
        <f>(H1111+H1112+H1113+H1114+H1115)/5</f>
        <v>100</v>
      </c>
      <c r="J1116" s="182"/>
      <c r="K1116" s="183" t="s">
        <v>6</v>
      </c>
      <c r="L1116" s="184"/>
      <c r="M1116" s="188"/>
      <c r="N1116" s="188"/>
      <c r="O1116" s="187"/>
      <c r="P1116" s="187">
        <f>O1111</f>
        <v>103.80622837370241</v>
      </c>
      <c r="Q1116" s="187">
        <f>(I1116+P1116)/2</f>
        <v>101.90311418685121</v>
      </c>
      <c r="R1116" s="191" t="s">
        <v>31</v>
      </c>
      <c r="S1116" s="579"/>
      <c r="T1116" s="123"/>
    </row>
    <row r="1117" spans="1:20" s="212" customFormat="1" ht="60" customHeight="1" x14ac:dyDescent="0.35">
      <c r="A1117" s="576"/>
      <c r="B1117" s="600"/>
      <c r="C1117" s="502" t="s">
        <v>28</v>
      </c>
      <c r="D1117" s="146" t="s">
        <v>133</v>
      </c>
      <c r="E1117" s="114"/>
      <c r="F1117" s="114"/>
      <c r="G1117" s="114"/>
      <c r="H1117" s="113"/>
      <c r="I1117" s="113"/>
      <c r="J1117" s="502" t="s">
        <v>28</v>
      </c>
      <c r="K1117" s="146" t="str">
        <f>D1117</f>
        <v>Реализация основных общеобразовательных программ среднего общего образования</v>
      </c>
      <c r="L1117" s="114"/>
      <c r="M1117" s="119"/>
      <c r="N1117" s="119"/>
      <c r="O1117" s="113"/>
      <c r="P1117" s="127"/>
      <c r="Q1117" s="113"/>
      <c r="R1117" s="114"/>
      <c r="S1117" s="579"/>
      <c r="T1117" s="211"/>
    </row>
    <row r="1118" spans="1:20" s="212" customFormat="1" ht="84.75" customHeight="1" x14ac:dyDescent="0.35">
      <c r="A1118" s="576"/>
      <c r="B1118" s="600"/>
      <c r="C1118" s="114" t="s">
        <v>29</v>
      </c>
      <c r="D1118" s="116" t="s">
        <v>134</v>
      </c>
      <c r="E1118" s="114" t="s">
        <v>25</v>
      </c>
      <c r="F1118" s="114">
        <v>100</v>
      </c>
      <c r="G1118" s="114">
        <v>100</v>
      </c>
      <c r="H1118" s="509">
        <f t="shared" ref="H1118:H1122" si="105">IF(G1118/F1118*100&gt;100,100,G1118/F1118*100)</f>
        <v>100</v>
      </c>
      <c r="I1118" s="114"/>
      <c r="J1118" s="118" t="s">
        <v>29</v>
      </c>
      <c r="K1118" s="116" t="s">
        <v>89</v>
      </c>
      <c r="L1118" s="114" t="s">
        <v>38</v>
      </c>
      <c r="M1118" s="114">
        <v>54</v>
      </c>
      <c r="N1118" s="114">
        <v>57</v>
      </c>
      <c r="O1118" s="115">
        <f>IF(N1118/M1118*100&gt;110,110,N1118/M1118*100)</f>
        <v>105.55555555555556</v>
      </c>
      <c r="P1118" s="114"/>
      <c r="Q1118" s="113"/>
      <c r="R1118" s="114"/>
      <c r="S1118" s="579"/>
      <c r="T1118" s="211"/>
    </row>
    <row r="1119" spans="1:20" s="212" customFormat="1" ht="29.25" customHeight="1" x14ac:dyDescent="0.35">
      <c r="A1119" s="576"/>
      <c r="B1119" s="600"/>
      <c r="C1119" s="114" t="s">
        <v>30</v>
      </c>
      <c r="D1119" s="116" t="s">
        <v>560</v>
      </c>
      <c r="E1119" s="114" t="s">
        <v>25</v>
      </c>
      <c r="F1119" s="114">
        <v>100</v>
      </c>
      <c r="G1119" s="114">
        <v>100</v>
      </c>
      <c r="H1119" s="509">
        <f t="shared" si="105"/>
        <v>100</v>
      </c>
      <c r="I1119" s="114"/>
      <c r="J1119" s="118"/>
      <c r="K1119" s="116"/>
      <c r="L1119" s="114"/>
      <c r="M1119" s="119"/>
      <c r="N1119" s="119"/>
      <c r="O1119" s="115"/>
      <c r="P1119" s="127"/>
      <c r="Q1119" s="113"/>
      <c r="R1119" s="114"/>
      <c r="S1119" s="579"/>
      <c r="T1119" s="211"/>
    </row>
    <row r="1120" spans="1:20" s="212" customFormat="1" ht="51" customHeight="1" x14ac:dyDescent="0.35">
      <c r="A1120" s="576"/>
      <c r="B1120" s="600"/>
      <c r="C1120" s="114" t="s">
        <v>52</v>
      </c>
      <c r="D1120" s="116" t="s">
        <v>468</v>
      </c>
      <c r="E1120" s="114" t="s">
        <v>389</v>
      </c>
      <c r="F1120" s="114">
        <v>100</v>
      </c>
      <c r="G1120" s="114">
        <v>100</v>
      </c>
      <c r="H1120" s="509">
        <f t="shared" si="105"/>
        <v>100</v>
      </c>
      <c r="I1120" s="114"/>
      <c r="J1120" s="118"/>
      <c r="K1120" s="116"/>
      <c r="L1120" s="114"/>
      <c r="M1120" s="119"/>
      <c r="N1120" s="119"/>
      <c r="O1120" s="115"/>
      <c r="P1120" s="127"/>
      <c r="Q1120" s="113"/>
      <c r="R1120" s="114"/>
      <c r="S1120" s="579"/>
      <c r="T1120" s="211"/>
    </row>
    <row r="1121" spans="1:20" s="212" customFormat="1" ht="63.75" customHeight="1" x14ac:dyDescent="0.35">
      <c r="A1121" s="576"/>
      <c r="B1121" s="600"/>
      <c r="C1121" s="114" t="s">
        <v>53</v>
      </c>
      <c r="D1121" s="116" t="s">
        <v>390</v>
      </c>
      <c r="E1121" s="114" t="s">
        <v>25</v>
      </c>
      <c r="F1121" s="114">
        <v>90</v>
      </c>
      <c r="G1121" s="114">
        <v>100</v>
      </c>
      <c r="H1121" s="509">
        <f t="shared" si="105"/>
        <v>100</v>
      </c>
      <c r="I1121" s="114"/>
      <c r="J1121" s="118"/>
      <c r="K1121" s="116"/>
      <c r="L1121" s="114"/>
      <c r="M1121" s="119"/>
      <c r="N1121" s="119"/>
      <c r="O1121" s="115"/>
      <c r="P1121" s="127"/>
      <c r="Q1121" s="113"/>
      <c r="R1121" s="114"/>
      <c r="S1121" s="579"/>
      <c r="T1121" s="211"/>
    </row>
    <row r="1122" spans="1:20" s="212" customFormat="1" ht="125.25" customHeight="1" x14ac:dyDescent="0.35">
      <c r="A1122" s="576"/>
      <c r="B1122" s="600"/>
      <c r="C1122" s="114" t="s">
        <v>135</v>
      </c>
      <c r="D1122" s="116" t="s">
        <v>130</v>
      </c>
      <c r="E1122" s="114" t="s">
        <v>25</v>
      </c>
      <c r="F1122" s="114">
        <v>100</v>
      </c>
      <c r="G1122" s="114">
        <v>100</v>
      </c>
      <c r="H1122" s="509">
        <f t="shared" si="105"/>
        <v>100</v>
      </c>
      <c r="I1122" s="114"/>
      <c r="J1122" s="118"/>
      <c r="K1122" s="116"/>
      <c r="L1122" s="114"/>
      <c r="M1122" s="119"/>
      <c r="N1122" s="119"/>
      <c r="O1122" s="115"/>
      <c r="P1122" s="127"/>
      <c r="Q1122" s="113"/>
      <c r="R1122" s="114"/>
      <c r="S1122" s="579"/>
      <c r="T1122" s="211"/>
    </row>
    <row r="1123" spans="1:20" s="124" customFormat="1" ht="40.5" customHeight="1" x14ac:dyDescent="0.35">
      <c r="A1123" s="576"/>
      <c r="B1123" s="600"/>
      <c r="C1123" s="191"/>
      <c r="D1123" s="183" t="s">
        <v>6</v>
      </c>
      <c r="E1123" s="191"/>
      <c r="F1123" s="184"/>
      <c r="G1123" s="184"/>
      <c r="H1123" s="187"/>
      <c r="I1123" s="187">
        <f>(H1118+H1119+H1120+H1121+H1122)/5</f>
        <v>100</v>
      </c>
      <c r="J1123" s="182"/>
      <c r="K1123" s="183" t="s">
        <v>6</v>
      </c>
      <c r="L1123" s="184"/>
      <c r="M1123" s="188"/>
      <c r="N1123" s="188"/>
      <c r="O1123" s="187"/>
      <c r="P1123" s="187">
        <f>O1118</f>
        <v>105.55555555555556</v>
      </c>
      <c r="Q1123" s="187">
        <f>(I1123+P1123)/2</f>
        <v>102.77777777777777</v>
      </c>
      <c r="R1123" s="191" t="s">
        <v>31</v>
      </c>
      <c r="S1123" s="579"/>
      <c r="T1123" s="123"/>
    </row>
    <row r="1124" spans="1:20" s="212" customFormat="1" x14ac:dyDescent="0.35">
      <c r="A1124" s="576"/>
      <c r="B1124" s="600"/>
      <c r="C1124" s="502" t="s">
        <v>42</v>
      </c>
      <c r="D1124" s="146" t="s">
        <v>90</v>
      </c>
      <c r="E1124" s="114"/>
      <c r="F1124" s="114"/>
      <c r="G1124" s="114"/>
      <c r="H1124" s="113"/>
      <c r="I1124" s="113"/>
      <c r="J1124" s="502" t="s">
        <v>42</v>
      </c>
      <c r="K1124" s="146" t="s">
        <v>90</v>
      </c>
      <c r="L1124" s="114"/>
      <c r="M1124" s="119"/>
      <c r="N1124" s="119"/>
      <c r="O1124" s="113"/>
      <c r="P1124" s="127"/>
      <c r="Q1124" s="113"/>
      <c r="R1124" s="114"/>
      <c r="S1124" s="579"/>
      <c r="T1124" s="211"/>
    </row>
    <row r="1125" spans="1:20" s="212" customFormat="1" ht="53.25" customHeight="1" x14ac:dyDescent="0.35">
      <c r="A1125" s="576"/>
      <c r="B1125" s="600"/>
      <c r="C1125" s="114" t="s">
        <v>43</v>
      </c>
      <c r="D1125" s="116" t="s">
        <v>136</v>
      </c>
      <c r="E1125" s="114" t="s">
        <v>25</v>
      </c>
      <c r="F1125" s="114">
        <v>100</v>
      </c>
      <c r="G1125" s="114">
        <v>100</v>
      </c>
      <c r="H1125" s="509">
        <f t="shared" ref="H1125:H1126" si="106">IF(G1125/F1125*100&gt;100,100,G1125/F1125*100)</f>
        <v>100</v>
      </c>
      <c r="I1125" s="114"/>
      <c r="J1125" s="118" t="s">
        <v>43</v>
      </c>
      <c r="K1125" s="116" t="s">
        <v>89</v>
      </c>
      <c r="L1125" s="114" t="s">
        <v>38</v>
      </c>
      <c r="M1125" s="114">
        <v>100</v>
      </c>
      <c r="N1125" s="114">
        <v>100</v>
      </c>
      <c r="O1125" s="115">
        <f>IF(N1125/M1125*100&gt;110,110,N1125/M1125*100)</f>
        <v>100</v>
      </c>
      <c r="P1125" s="127"/>
      <c r="Q1125" s="113"/>
      <c r="R1125" s="114"/>
      <c r="S1125" s="579"/>
      <c r="T1125" s="211"/>
    </row>
    <row r="1126" spans="1:20" s="212" customFormat="1" ht="88.5" customHeight="1" x14ac:dyDescent="0.35">
      <c r="A1126" s="576"/>
      <c r="B1126" s="600"/>
      <c r="C1126" s="114" t="s">
        <v>137</v>
      </c>
      <c r="D1126" s="116" t="s">
        <v>138</v>
      </c>
      <c r="E1126" s="114" t="s">
        <v>25</v>
      </c>
      <c r="F1126" s="114">
        <v>90</v>
      </c>
      <c r="G1126" s="114">
        <v>90</v>
      </c>
      <c r="H1126" s="509">
        <f t="shared" si="106"/>
        <v>100</v>
      </c>
      <c r="I1126" s="114"/>
      <c r="J1126" s="118"/>
      <c r="K1126" s="116"/>
      <c r="L1126" s="114"/>
      <c r="M1126" s="119"/>
      <c r="N1126" s="119"/>
      <c r="O1126" s="115"/>
      <c r="P1126" s="127"/>
      <c r="Q1126" s="113"/>
      <c r="R1126" s="114"/>
      <c r="S1126" s="579"/>
      <c r="T1126" s="211"/>
    </row>
    <row r="1127" spans="1:20" s="124" customFormat="1" ht="40.5" customHeight="1" x14ac:dyDescent="0.35">
      <c r="A1127" s="576"/>
      <c r="B1127" s="600"/>
      <c r="C1127" s="191"/>
      <c r="D1127" s="183" t="s">
        <v>6</v>
      </c>
      <c r="E1127" s="191"/>
      <c r="F1127" s="184"/>
      <c r="G1127" s="184"/>
      <c r="H1127" s="187"/>
      <c r="I1127" s="187">
        <f>(H1125+H1126)/2</f>
        <v>100</v>
      </c>
      <c r="J1127" s="182"/>
      <c r="K1127" s="183" t="s">
        <v>6</v>
      </c>
      <c r="L1127" s="184"/>
      <c r="M1127" s="188"/>
      <c r="N1127" s="188"/>
      <c r="O1127" s="187"/>
      <c r="P1127" s="187">
        <f>O1125</f>
        <v>100</v>
      </c>
      <c r="Q1127" s="187">
        <f>(I1127+P1127)/2</f>
        <v>100</v>
      </c>
      <c r="R1127" s="191" t="s">
        <v>31</v>
      </c>
      <c r="S1127" s="579"/>
      <c r="T1127" s="123"/>
    </row>
    <row r="1128" spans="1:20" s="212" customFormat="1" ht="65.25" customHeight="1" x14ac:dyDescent="0.35">
      <c r="A1128" s="576"/>
      <c r="B1128" s="600"/>
      <c r="C1128" s="502" t="s">
        <v>164</v>
      </c>
      <c r="D1128" s="146" t="s">
        <v>211</v>
      </c>
      <c r="E1128" s="114"/>
      <c r="F1128" s="114"/>
      <c r="G1128" s="114"/>
      <c r="H1128" s="113"/>
      <c r="I1128" s="113"/>
      <c r="J1128" s="502" t="s">
        <v>164</v>
      </c>
      <c r="K1128" s="146" t="str">
        <f>D1128</f>
        <v>Реализация дополнительных общеразвивающих программ</v>
      </c>
      <c r="L1128" s="114"/>
      <c r="M1128" s="119"/>
      <c r="N1128" s="119"/>
      <c r="O1128" s="113"/>
      <c r="P1128" s="127"/>
      <c r="Q1128" s="113"/>
      <c r="R1128" s="114"/>
      <c r="S1128" s="579"/>
      <c r="T1128" s="211"/>
    </row>
    <row r="1129" spans="1:20" s="212" customFormat="1" ht="93.75" customHeight="1" x14ac:dyDescent="0.35">
      <c r="A1129" s="576"/>
      <c r="B1129" s="600"/>
      <c r="C1129" s="114" t="s">
        <v>165</v>
      </c>
      <c r="D1129" s="116" t="s">
        <v>138</v>
      </c>
      <c r="E1129" s="114" t="s">
        <v>25</v>
      </c>
      <c r="F1129" s="114">
        <v>90</v>
      </c>
      <c r="G1129" s="114">
        <v>90</v>
      </c>
      <c r="H1129" s="509">
        <f>IF(G1129/F1129*100&gt;100,100,G1129/F1129*100)</f>
        <v>100</v>
      </c>
      <c r="I1129" s="114"/>
      <c r="J1129" s="118" t="s">
        <v>43</v>
      </c>
      <c r="K1129" s="116" t="s">
        <v>469</v>
      </c>
      <c r="L1129" s="114" t="s">
        <v>339</v>
      </c>
      <c r="M1129" s="114">
        <v>76896</v>
      </c>
      <c r="N1129" s="114">
        <v>76896</v>
      </c>
      <c r="O1129" s="115">
        <f>IF(N1129/M1129*100&gt;110,110,N1129/M1129*100)</f>
        <v>100</v>
      </c>
      <c r="P1129" s="127"/>
      <c r="Q1129" s="113"/>
      <c r="R1129" s="114"/>
      <c r="S1129" s="579"/>
      <c r="T1129" s="211"/>
    </row>
    <row r="1130" spans="1:20" s="124" customFormat="1" ht="41.25" customHeight="1" x14ac:dyDescent="0.35">
      <c r="A1130" s="576"/>
      <c r="B1130" s="600"/>
      <c r="C1130" s="191"/>
      <c r="D1130" s="183" t="s">
        <v>6</v>
      </c>
      <c r="E1130" s="191"/>
      <c r="F1130" s="184"/>
      <c r="G1130" s="184"/>
      <c r="H1130" s="187"/>
      <c r="I1130" s="187">
        <f>H1129</f>
        <v>100</v>
      </c>
      <c r="J1130" s="182"/>
      <c r="K1130" s="183" t="s">
        <v>6</v>
      </c>
      <c r="L1130" s="184"/>
      <c r="M1130" s="188"/>
      <c r="N1130" s="188"/>
      <c r="O1130" s="187"/>
      <c r="P1130" s="187">
        <f>O1129</f>
        <v>100</v>
      </c>
      <c r="Q1130" s="187">
        <f>(I1130+P1130)/2</f>
        <v>100</v>
      </c>
      <c r="R1130" s="191" t="s">
        <v>31</v>
      </c>
      <c r="S1130" s="579"/>
      <c r="T1130" s="123"/>
    </row>
    <row r="1131" spans="1:20" s="212" customFormat="1" ht="65.25" customHeight="1" x14ac:dyDescent="0.35">
      <c r="A1131" s="576">
        <v>64</v>
      </c>
      <c r="B1131" s="600" t="s">
        <v>176</v>
      </c>
      <c r="C1131" s="502" t="s">
        <v>12</v>
      </c>
      <c r="D1131" s="146" t="s">
        <v>128</v>
      </c>
      <c r="E1131" s="502"/>
      <c r="F1131" s="502"/>
      <c r="G1131" s="502"/>
      <c r="H1131" s="113"/>
      <c r="I1131" s="113"/>
      <c r="J1131" s="502" t="s">
        <v>12</v>
      </c>
      <c r="K1131" s="146" t="s">
        <v>128</v>
      </c>
      <c r="L1131" s="114"/>
      <c r="M1131" s="114"/>
      <c r="N1131" s="114"/>
      <c r="O1131" s="113"/>
      <c r="P1131" s="127"/>
      <c r="Q1131" s="113"/>
      <c r="R1131" s="114"/>
      <c r="S1131" s="579" t="s">
        <v>607</v>
      </c>
      <c r="T1131" s="211"/>
    </row>
    <row r="1132" spans="1:20" s="212" customFormat="1" ht="65.25" customHeight="1" x14ac:dyDescent="0.35">
      <c r="A1132" s="576"/>
      <c r="B1132" s="600"/>
      <c r="C1132" s="114" t="s">
        <v>7</v>
      </c>
      <c r="D1132" s="116" t="s">
        <v>129</v>
      </c>
      <c r="E1132" s="114" t="s">
        <v>25</v>
      </c>
      <c r="F1132" s="114">
        <v>100</v>
      </c>
      <c r="G1132" s="114">
        <v>100</v>
      </c>
      <c r="H1132" s="509">
        <f t="shared" ref="H1132:H1136" si="107">IF(G1132/F1132*100&gt;100,100,G1132/F1132*100)</f>
        <v>100</v>
      </c>
      <c r="I1132" s="114"/>
      <c r="J1132" s="114" t="s">
        <v>7</v>
      </c>
      <c r="K1132" s="116" t="s">
        <v>89</v>
      </c>
      <c r="L1132" s="114" t="s">
        <v>38</v>
      </c>
      <c r="M1132" s="114">
        <v>242</v>
      </c>
      <c r="N1132" s="114">
        <v>235</v>
      </c>
      <c r="O1132" s="115">
        <f>IF(N1132/M1132*100&gt;110,110,N1132/M1132*100)</f>
        <v>97.107438016528931</v>
      </c>
      <c r="P1132" s="127"/>
      <c r="Q1132" s="113"/>
      <c r="R1132" s="114"/>
      <c r="S1132" s="579"/>
      <c r="T1132" s="211"/>
    </row>
    <row r="1133" spans="1:20" s="212" customFormat="1" x14ac:dyDescent="0.35">
      <c r="A1133" s="576"/>
      <c r="B1133" s="600"/>
      <c r="C1133" s="114" t="s">
        <v>8</v>
      </c>
      <c r="D1133" s="116" t="s">
        <v>561</v>
      </c>
      <c r="E1133" s="114" t="s">
        <v>25</v>
      </c>
      <c r="F1133" s="114">
        <v>100</v>
      </c>
      <c r="G1133" s="114">
        <v>100</v>
      </c>
      <c r="H1133" s="509">
        <f t="shared" si="107"/>
        <v>100</v>
      </c>
      <c r="I1133" s="114"/>
      <c r="J1133" s="114"/>
      <c r="K1133" s="503"/>
      <c r="L1133" s="114"/>
      <c r="M1133" s="117"/>
      <c r="N1133" s="117"/>
      <c r="O1133" s="115"/>
      <c r="P1133" s="127"/>
      <c r="Q1133" s="113"/>
      <c r="R1133" s="114"/>
      <c r="S1133" s="579"/>
      <c r="T1133" s="211"/>
    </row>
    <row r="1134" spans="1:20" s="212" customFormat="1" ht="40.5" customHeight="1" x14ac:dyDescent="0.35">
      <c r="A1134" s="576"/>
      <c r="B1134" s="600"/>
      <c r="C1134" s="114" t="s">
        <v>9</v>
      </c>
      <c r="D1134" s="116" t="s">
        <v>468</v>
      </c>
      <c r="E1134" s="114" t="s">
        <v>389</v>
      </c>
      <c r="F1134" s="114">
        <v>100</v>
      </c>
      <c r="G1134" s="114">
        <v>100</v>
      </c>
      <c r="H1134" s="509">
        <f t="shared" si="107"/>
        <v>100</v>
      </c>
      <c r="I1134" s="114"/>
      <c r="J1134" s="118"/>
      <c r="K1134" s="116"/>
      <c r="L1134" s="114"/>
      <c r="M1134" s="119"/>
      <c r="N1134" s="119"/>
      <c r="O1134" s="115"/>
      <c r="P1134" s="127"/>
      <c r="Q1134" s="113"/>
      <c r="R1134" s="114"/>
      <c r="S1134" s="579"/>
      <c r="T1134" s="211"/>
    </row>
    <row r="1135" spans="1:20" s="212" customFormat="1" ht="59.25" customHeight="1" x14ac:dyDescent="0.35">
      <c r="A1135" s="576"/>
      <c r="B1135" s="600"/>
      <c r="C1135" s="114" t="s">
        <v>10</v>
      </c>
      <c r="D1135" s="116" t="s">
        <v>390</v>
      </c>
      <c r="E1135" s="114" t="s">
        <v>25</v>
      </c>
      <c r="F1135" s="114">
        <v>90</v>
      </c>
      <c r="G1135" s="114">
        <v>100</v>
      </c>
      <c r="H1135" s="509">
        <f t="shared" si="107"/>
        <v>100</v>
      </c>
      <c r="I1135" s="114"/>
      <c r="J1135" s="118"/>
      <c r="K1135" s="116"/>
      <c r="L1135" s="114"/>
      <c r="M1135" s="119"/>
      <c r="N1135" s="119"/>
      <c r="O1135" s="115"/>
      <c r="P1135" s="127"/>
      <c r="Q1135" s="113"/>
      <c r="R1135" s="114"/>
      <c r="S1135" s="579"/>
      <c r="T1135" s="211"/>
    </row>
    <row r="1136" spans="1:20" s="212" customFormat="1" ht="113.25" customHeight="1" x14ac:dyDescent="0.35">
      <c r="A1136" s="576"/>
      <c r="B1136" s="600"/>
      <c r="C1136" s="114" t="s">
        <v>35</v>
      </c>
      <c r="D1136" s="116" t="s">
        <v>130</v>
      </c>
      <c r="E1136" s="114" t="s">
        <v>25</v>
      </c>
      <c r="F1136" s="114">
        <v>100</v>
      </c>
      <c r="G1136" s="114">
        <v>100</v>
      </c>
      <c r="H1136" s="509">
        <f t="shared" si="107"/>
        <v>100</v>
      </c>
      <c r="I1136" s="114"/>
      <c r="J1136" s="118"/>
      <c r="K1136" s="116"/>
      <c r="L1136" s="114"/>
      <c r="M1136" s="119"/>
      <c r="N1136" s="119"/>
      <c r="O1136" s="115"/>
      <c r="P1136" s="127"/>
      <c r="Q1136" s="113"/>
      <c r="R1136" s="114"/>
      <c r="S1136" s="579"/>
      <c r="T1136" s="211"/>
    </row>
    <row r="1137" spans="1:20" s="124" customFormat="1" ht="40.5" customHeight="1" x14ac:dyDescent="0.35">
      <c r="A1137" s="576"/>
      <c r="B1137" s="600"/>
      <c r="C1137" s="191"/>
      <c r="D1137" s="183" t="s">
        <v>6</v>
      </c>
      <c r="E1137" s="191"/>
      <c r="F1137" s="184"/>
      <c r="G1137" s="184"/>
      <c r="H1137" s="187"/>
      <c r="I1137" s="187">
        <f>(H1132+H1133+H1134+H1135+H1136)/5</f>
        <v>100</v>
      </c>
      <c r="J1137" s="182"/>
      <c r="K1137" s="183" t="s">
        <v>6</v>
      </c>
      <c r="L1137" s="184"/>
      <c r="M1137" s="188"/>
      <c r="N1137" s="188"/>
      <c r="O1137" s="187"/>
      <c r="P1137" s="187">
        <f>O1132</f>
        <v>97.107438016528931</v>
      </c>
      <c r="Q1137" s="187">
        <f>(I1137+P1137)/2</f>
        <v>98.553719008264466</v>
      </c>
      <c r="R1137" s="191" t="s">
        <v>361</v>
      </c>
      <c r="S1137" s="579"/>
      <c r="T1137" s="123"/>
    </row>
    <row r="1138" spans="1:20" s="212" customFormat="1" ht="72.75" customHeight="1" x14ac:dyDescent="0.35">
      <c r="A1138" s="576"/>
      <c r="B1138" s="600"/>
      <c r="C1138" s="502" t="s">
        <v>13</v>
      </c>
      <c r="D1138" s="146" t="s">
        <v>131</v>
      </c>
      <c r="E1138" s="114"/>
      <c r="F1138" s="114"/>
      <c r="G1138" s="114"/>
      <c r="H1138" s="113"/>
      <c r="I1138" s="113"/>
      <c r="J1138" s="502" t="s">
        <v>13</v>
      </c>
      <c r="K1138" s="146" t="s">
        <v>131</v>
      </c>
      <c r="L1138" s="114"/>
      <c r="M1138" s="119"/>
      <c r="N1138" s="119"/>
      <c r="O1138" s="113"/>
      <c r="P1138" s="127"/>
      <c r="Q1138" s="113"/>
      <c r="R1138" s="114"/>
      <c r="S1138" s="579"/>
      <c r="T1138" s="211"/>
    </row>
    <row r="1139" spans="1:20" s="212" customFormat="1" ht="74.25" customHeight="1" x14ac:dyDescent="0.35">
      <c r="A1139" s="576"/>
      <c r="B1139" s="600"/>
      <c r="C1139" s="114" t="s">
        <v>14</v>
      </c>
      <c r="D1139" s="116" t="s">
        <v>132</v>
      </c>
      <c r="E1139" s="114" t="s">
        <v>25</v>
      </c>
      <c r="F1139" s="114">
        <v>100</v>
      </c>
      <c r="G1139" s="114">
        <v>100</v>
      </c>
      <c r="H1139" s="509">
        <f t="shared" ref="H1139:H1143" si="108">IF(G1139/F1139*100&gt;100,100,G1139/F1139*100)</f>
        <v>100</v>
      </c>
      <c r="I1139" s="114"/>
      <c r="J1139" s="118" t="s">
        <v>14</v>
      </c>
      <c r="K1139" s="116" t="s">
        <v>89</v>
      </c>
      <c r="L1139" s="114" t="s">
        <v>38</v>
      </c>
      <c r="M1139" s="114">
        <v>294</v>
      </c>
      <c r="N1139" s="114">
        <v>298</v>
      </c>
      <c r="O1139" s="115">
        <f>IF(N1139/M1139*100&gt;110,110,N1139/M1139*100)</f>
        <v>101.36054421768708</v>
      </c>
      <c r="P1139" s="114"/>
      <c r="Q1139" s="113"/>
      <c r="R1139" s="114"/>
      <c r="S1139" s="579"/>
      <c r="T1139" s="211"/>
    </row>
    <row r="1140" spans="1:20" s="212" customFormat="1" x14ac:dyDescent="0.35">
      <c r="A1140" s="576"/>
      <c r="B1140" s="600"/>
      <c r="C1140" s="114" t="s">
        <v>15</v>
      </c>
      <c r="D1140" s="116" t="s">
        <v>559</v>
      </c>
      <c r="E1140" s="114" t="s">
        <v>25</v>
      </c>
      <c r="F1140" s="114">
        <v>100</v>
      </c>
      <c r="G1140" s="114">
        <v>100</v>
      </c>
      <c r="H1140" s="509">
        <f t="shared" si="108"/>
        <v>100</v>
      </c>
      <c r="I1140" s="114"/>
      <c r="J1140" s="118"/>
      <c r="K1140" s="116"/>
      <c r="L1140" s="114"/>
      <c r="M1140" s="119"/>
      <c r="N1140" s="119"/>
      <c r="O1140" s="115"/>
      <c r="P1140" s="127"/>
      <c r="Q1140" s="113"/>
      <c r="R1140" s="114"/>
      <c r="S1140" s="579"/>
      <c r="T1140" s="211"/>
    </row>
    <row r="1141" spans="1:20" s="212" customFormat="1" ht="45" customHeight="1" x14ac:dyDescent="0.35">
      <c r="A1141" s="576"/>
      <c r="B1141" s="600"/>
      <c r="C1141" s="114" t="s">
        <v>39</v>
      </c>
      <c r="D1141" s="116" t="s">
        <v>468</v>
      </c>
      <c r="E1141" s="114" t="s">
        <v>389</v>
      </c>
      <c r="F1141" s="114">
        <v>100</v>
      </c>
      <c r="G1141" s="114">
        <v>100</v>
      </c>
      <c r="H1141" s="509">
        <f t="shared" si="108"/>
        <v>100</v>
      </c>
      <c r="I1141" s="114"/>
      <c r="J1141" s="118"/>
      <c r="K1141" s="116"/>
      <c r="L1141" s="114"/>
      <c r="M1141" s="119"/>
      <c r="N1141" s="119"/>
      <c r="O1141" s="115"/>
      <c r="P1141" s="127"/>
      <c r="Q1141" s="113"/>
      <c r="R1141" s="114"/>
      <c r="S1141" s="579"/>
      <c r="T1141" s="211"/>
    </row>
    <row r="1142" spans="1:20" s="212" customFormat="1" ht="57.75" customHeight="1" x14ac:dyDescent="0.35">
      <c r="A1142" s="576"/>
      <c r="B1142" s="600"/>
      <c r="C1142" s="114" t="s">
        <v>45</v>
      </c>
      <c r="D1142" s="116" t="s">
        <v>390</v>
      </c>
      <c r="E1142" s="114" t="s">
        <v>25</v>
      </c>
      <c r="F1142" s="114">
        <v>90</v>
      </c>
      <c r="G1142" s="114">
        <v>100</v>
      </c>
      <c r="H1142" s="509">
        <f t="shared" si="108"/>
        <v>100</v>
      </c>
      <c r="I1142" s="114"/>
      <c r="J1142" s="118"/>
      <c r="K1142" s="116"/>
      <c r="L1142" s="114"/>
      <c r="M1142" s="119"/>
      <c r="N1142" s="119"/>
      <c r="O1142" s="115"/>
      <c r="P1142" s="127"/>
      <c r="Q1142" s="113"/>
      <c r="R1142" s="114"/>
      <c r="S1142" s="579"/>
      <c r="T1142" s="211"/>
    </row>
    <row r="1143" spans="1:20" s="212" customFormat="1" ht="114" customHeight="1" x14ac:dyDescent="0.35">
      <c r="A1143" s="576"/>
      <c r="B1143" s="600"/>
      <c r="C1143" s="114" t="s">
        <v>66</v>
      </c>
      <c r="D1143" s="116" t="s">
        <v>130</v>
      </c>
      <c r="E1143" s="114" t="s">
        <v>25</v>
      </c>
      <c r="F1143" s="114">
        <v>100</v>
      </c>
      <c r="G1143" s="114">
        <v>100</v>
      </c>
      <c r="H1143" s="509">
        <f t="shared" si="108"/>
        <v>100</v>
      </c>
      <c r="I1143" s="114"/>
      <c r="J1143" s="118"/>
      <c r="K1143" s="116"/>
      <c r="L1143" s="114"/>
      <c r="M1143" s="119"/>
      <c r="N1143" s="119"/>
      <c r="O1143" s="115"/>
      <c r="P1143" s="127"/>
      <c r="Q1143" s="113"/>
      <c r="R1143" s="114"/>
      <c r="S1143" s="579"/>
      <c r="T1143" s="211"/>
    </row>
    <row r="1144" spans="1:20" s="124" customFormat="1" ht="40.5" customHeight="1" x14ac:dyDescent="0.35">
      <c r="A1144" s="576"/>
      <c r="B1144" s="600"/>
      <c r="C1144" s="191"/>
      <c r="D1144" s="183" t="s">
        <v>6</v>
      </c>
      <c r="E1144" s="191"/>
      <c r="F1144" s="184"/>
      <c r="G1144" s="184"/>
      <c r="H1144" s="187"/>
      <c r="I1144" s="187">
        <f>(H1139+H1140+H1141+H1142+H1143)/5</f>
        <v>100</v>
      </c>
      <c r="J1144" s="182"/>
      <c r="K1144" s="183" t="s">
        <v>6</v>
      </c>
      <c r="L1144" s="184"/>
      <c r="M1144" s="188"/>
      <c r="N1144" s="188"/>
      <c r="O1144" s="187"/>
      <c r="P1144" s="187">
        <f>O1139</f>
        <v>101.36054421768708</v>
      </c>
      <c r="Q1144" s="187">
        <f>(I1144+P1144)/2</f>
        <v>100.68027210884354</v>
      </c>
      <c r="R1144" s="191" t="s">
        <v>31</v>
      </c>
      <c r="S1144" s="579"/>
      <c r="T1144" s="123"/>
    </row>
    <row r="1145" spans="1:20" s="212" customFormat="1" ht="65.25" customHeight="1" x14ac:dyDescent="0.35">
      <c r="A1145" s="576"/>
      <c r="B1145" s="600"/>
      <c r="C1145" s="502" t="s">
        <v>28</v>
      </c>
      <c r="D1145" s="146" t="s">
        <v>133</v>
      </c>
      <c r="E1145" s="114"/>
      <c r="F1145" s="114"/>
      <c r="G1145" s="114"/>
      <c r="H1145" s="113"/>
      <c r="I1145" s="113"/>
      <c r="J1145" s="502" t="s">
        <v>28</v>
      </c>
      <c r="K1145" s="146" t="str">
        <f>D1145</f>
        <v>Реализация основных общеобразовательных программ среднего общего образования</v>
      </c>
      <c r="L1145" s="114"/>
      <c r="M1145" s="119"/>
      <c r="N1145" s="119"/>
      <c r="O1145" s="113"/>
      <c r="P1145" s="127"/>
      <c r="Q1145" s="113"/>
      <c r="R1145" s="114"/>
      <c r="S1145" s="579"/>
      <c r="T1145" s="211"/>
    </row>
    <row r="1146" spans="1:20" s="212" customFormat="1" ht="65.25" customHeight="1" x14ac:dyDescent="0.35">
      <c r="A1146" s="576"/>
      <c r="B1146" s="600"/>
      <c r="C1146" s="114" t="s">
        <v>29</v>
      </c>
      <c r="D1146" s="116" t="s">
        <v>134</v>
      </c>
      <c r="E1146" s="114" t="s">
        <v>25</v>
      </c>
      <c r="F1146" s="114">
        <v>100</v>
      </c>
      <c r="G1146" s="114">
        <v>100</v>
      </c>
      <c r="H1146" s="509">
        <f t="shared" ref="H1146:H1150" si="109">IF(G1146/F1146*100&gt;100,100,G1146/F1146*100)</f>
        <v>100</v>
      </c>
      <c r="I1146" s="114"/>
      <c r="J1146" s="118" t="s">
        <v>29</v>
      </c>
      <c r="K1146" s="116" t="s">
        <v>89</v>
      </c>
      <c r="L1146" s="114" t="s">
        <v>38</v>
      </c>
      <c r="M1146" s="114">
        <v>54</v>
      </c>
      <c r="N1146" s="114">
        <v>54</v>
      </c>
      <c r="O1146" s="115">
        <f>IF(N1146/M1146*100&gt;110,110,N1146/M1146*100)</f>
        <v>100</v>
      </c>
      <c r="P1146" s="114"/>
      <c r="Q1146" s="113"/>
      <c r="R1146" s="114"/>
      <c r="S1146" s="579"/>
      <c r="T1146" s="211"/>
    </row>
    <row r="1147" spans="1:20" s="212" customFormat="1" x14ac:dyDescent="0.35">
      <c r="A1147" s="576"/>
      <c r="B1147" s="600"/>
      <c r="C1147" s="114" t="s">
        <v>30</v>
      </c>
      <c r="D1147" s="116" t="s">
        <v>560</v>
      </c>
      <c r="E1147" s="114" t="s">
        <v>25</v>
      </c>
      <c r="F1147" s="114">
        <v>100</v>
      </c>
      <c r="G1147" s="114">
        <v>100</v>
      </c>
      <c r="H1147" s="509">
        <f t="shared" si="109"/>
        <v>100</v>
      </c>
      <c r="I1147" s="114"/>
      <c r="J1147" s="118"/>
      <c r="K1147" s="116"/>
      <c r="L1147" s="114"/>
      <c r="M1147" s="119"/>
      <c r="N1147" s="119"/>
      <c r="O1147" s="115"/>
      <c r="P1147" s="127"/>
      <c r="Q1147" s="113"/>
      <c r="R1147" s="114"/>
      <c r="S1147" s="579"/>
      <c r="T1147" s="211"/>
    </row>
    <row r="1148" spans="1:20" s="212" customFormat="1" ht="52.5" customHeight="1" x14ac:dyDescent="0.35">
      <c r="A1148" s="576"/>
      <c r="B1148" s="600"/>
      <c r="C1148" s="114" t="s">
        <v>52</v>
      </c>
      <c r="D1148" s="116" t="s">
        <v>468</v>
      </c>
      <c r="E1148" s="114" t="s">
        <v>389</v>
      </c>
      <c r="F1148" s="114">
        <v>100</v>
      </c>
      <c r="G1148" s="114">
        <v>100</v>
      </c>
      <c r="H1148" s="509">
        <f t="shared" si="109"/>
        <v>100</v>
      </c>
      <c r="I1148" s="114"/>
      <c r="J1148" s="118"/>
      <c r="K1148" s="116"/>
      <c r="L1148" s="114"/>
      <c r="M1148" s="119"/>
      <c r="N1148" s="119"/>
      <c r="O1148" s="115"/>
      <c r="P1148" s="127"/>
      <c r="Q1148" s="113"/>
      <c r="R1148" s="114"/>
      <c r="S1148" s="579"/>
      <c r="T1148" s="211"/>
    </row>
    <row r="1149" spans="1:20" s="212" customFormat="1" ht="60.75" customHeight="1" x14ac:dyDescent="0.35">
      <c r="A1149" s="576"/>
      <c r="B1149" s="600"/>
      <c r="C1149" s="114" t="s">
        <v>53</v>
      </c>
      <c r="D1149" s="116" t="s">
        <v>390</v>
      </c>
      <c r="E1149" s="114" t="s">
        <v>25</v>
      </c>
      <c r="F1149" s="114">
        <v>90</v>
      </c>
      <c r="G1149" s="114">
        <v>100</v>
      </c>
      <c r="H1149" s="509">
        <f t="shared" si="109"/>
        <v>100</v>
      </c>
      <c r="I1149" s="114"/>
      <c r="J1149" s="118"/>
      <c r="K1149" s="116"/>
      <c r="L1149" s="114"/>
      <c r="M1149" s="119"/>
      <c r="N1149" s="119"/>
      <c r="O1149" s="115"/>
      <c r="P1149" s="127"/>
      <c r="Q1149" s="113"/>
      <c r="R1149" s="114"/>
      <c r="S1149" s="579"/>
      <c r="T1149" s="211"/>
    </row>
    <row r="1150" spans="1:20" s="212" customFormat="1" ht="125.25" customHeight="1" x14ac:dyDescent="0.35">
      <c r="A1150" s="576"/>
      <c r="B1150" s="600"/>
      <c r="C1150" s="114" t="s">
        <v>135</v>
      </c>
      <c r="D1150" s="116" t="s">
        <v>130</v>
      </c>
      <c r="E1150" s="114" t="s">
        <v>25</v>
      </c>
      <c r="F1150" s="114">
        <v>100</v>
      </c>
      <c r="G1150" s="114">
        <v>100</v>
      </c>
      <c r="H1150" s="509">
        <f t="shared" si="109"/>
        <v>100</v>
      </c>
      <c r="I1150" s="114"/>
      <c r="J1150" s="118"/>
      <c r="K1150" s="116"/>
      <c r="L1150" s="114"/>
      <c r="M1150" s="119"/>
      <c r="N1150" s="119"/>
      <c r="O1150" s="115"/>
      <c r="P1150" s="127"/>
      <c r="Q1150" s="113"/>
      <c r="R1150" s="114"/>
      <c r="S1150" s="579"/>
      <c r="T1150" s="211"/>
    </row>
    <row r="1151" spans="1:20" s="124" customFormat="1" ht="40.5" customHeight="1" x14ac:dyDescent="0.35">
      <c r="A1151" s="576"/>
      <c r="B1151" s="600"/>
      <c r="C1151" s="191"/>
      <c r="D1151" s="183" t="s">
        <v>6</v>
      </c>
      <c r="E1151" s="191"/>
      <c r="F1151" s="184"/>
      <c r="G1151" s="184"/>
      <c r="H1151" s="187"/>
      <c r="I1151" s="187">
        <f>(H1146+H1147+H1148+H1149+H1150)/5</f>
        <v>100</v>
      </c>
      <c r="J1151" s="182"/>
      <c r="K1151" s="183" t="s">
        <v>6</v>
      </c>
      <c r="L1151" s="184"/>
      <c r="M1151" s="188"/>
      <c r="N1151" s="188"/>
      <c r="O1151" s="187"/>
      <c r="P1151" s="187">
        <f>O1146</f>
        <v>100</v>
      </c>
      <c r="Q1151" s="187">
        <f>(I1151+P1151)/2</f>
        <v>100</v>
      </c>
      <c r="R1151" s="191" t="s">
        <v>31</v>
      </c>
      <c r="S1151" s="579"/>
      <c r="T1151" s="123"/>
    </row>
    <row r="1152" spans="1:20" s="212" customFormat="1" x14ac:dyDescent="0.35">
      <c r="A1152" s="576"/>
      <c r="B1152" s="600"/>
      <c r="C1152" s="502" t="s">
        <v>42</v>
      </c>
      <c r="D1152" s="146" t="s">
        <v>90</v>
      </c>
      <c r="E1152" s="114"/>
      <c r="F1152" s="114"/>
      <c r="G1152" s="114"/>
      <c r="H1152" s="113"/>
      <c r="I1152" s="113"/>
      <c r="J1152" s="502" t="s">
        <v>42</v>
      </c>
      <c r="K1152" s="146" t="s">
        <v>90</v>
      </c>
      <c r="L1152" s="114"/>
      <c r="M1152" s="119"/>
      <c r="N1152" s="119"/>
      <c r="O1152" s="113"/>
      <c r="P1152" s="127"/>
      <c r="Q1152" s="113"/>
      <c r="R1152" s="114"/>
      <c r="S1152" s="579"/>
      <c r="T1152" s="211"/>
    </row>
    <row r="1153" spans="1:20" s="212" customFormat="1" ht="45.75" customHeight="1" x14ac:dyDescent="0.35">
      <c r="A1153" s="576"/>
      <c r="B1153" s="600"/>
      <c r="C1153" s="114" t="s">
        <v>43</v>
      </c>
      <c r="D1153" s="116" t="s">
        <v>136</v>
      </c>
      <c r="E1153" s="114" t="s">
        <v>25</v>
      </c>
      <c r="F1153" s="114">
        <v>100</v>
      </c>
      <c r="G1153" s="114">
        <v>100</v>
      </c>
      <c r="H1153" s="509">
        <f t="shared" ref="H1153:H1154" si="110">IF(G1153/F1153*100&gt;100,100,G1153/F1153*100)</f>
        <v>100</v>
      </c>
      <c r="I1153" s="114"/>
      <c r="J1153" s="118" t="s">
        <v>43</v>
      </c>
      <c r="K1153" s="116" t="s">
        <v>89</v>
      </c>
      <c r="L1153" s="114" t="s">
        <v>38</v>
      </c>
      <c r="M1153" s="114">
        <v>25</v>
      </c>
      <c r="N1153" s="114">
        <v>25</v>
      </c>
      <c r="O1153" s="115">
        <f>IF(N1153/M1153*100&gt;110,110,N1153/M1153*100)</f>
        <v>100</v>
      </c>
      <c r="P1153" s="127"/>
      <c r="Q1153" s="113"/>
      <c r="R1153" s="114"/>
      <c r="S1153" s="579"/>
      <c r="T1153" s="211"/>
    </row>
    <row r="1154" spans="1:20" s="212" customFormat="1" ht="84" customHeight="1" x14ac:dyDescent="0.35">
      <c r="A1154" s="576"/>
      <c r="B1154" s="600"/>
      <c r="C1154" s="114" t="s">
        <v>137</v>
      </c>
      <c r="D1154" s="116" t="s">
        <v>138</v>
      </c>
      <c r="E1154" s="114" t="s">
        <v>25</v>
      </c>
      <c r="F1154" s="114">
        <v>90</v>
      </c>
      <c r="G1154" s="114">
        <v>90</v>
      </c>
      <c r="H1154" s="509">
        <f t="shared" si="110"/>
        <v>100</v>
      </c>
      <c r="I1154" s="114"/>
      <c r="J1154" s="118"/>
      <c r="K1154" s="116"/>
      <c r="L1154" s="114"/>
      <c r="M1154" s="119"/>
      <c r="N1154" s="119"/>
      <c r="O1154" s="115"/>
      <c r="P1154" s="127"/>
      <c r="Q1154" s="113"/>
      <c r="R1154" s="114"/>
      <c r="S1154" s="579"/>
      <c r="T1154" s="211"/>
    </row>
    <row r="1155" spans="1:20" s="124" customFormat="1" ht="40.5" customHeight="1" x14ac:dyDescent="0.35">
      <c r="A1155" s="576"/>
      <c r="B1155" s="600"/>
      <c r="C1155" s="191"/>
      <c r="D1155" s="183" t="s">
        <v>6</v>
      </c>
      <c r="E1155" s="191"/>
      <c r="F1155" s="184"/>
      <c r="G1155" s="184"/>
      <c r="H1155" s="187"/>
      <c r="I1155" s="187">
        <f>(H1153+H1154)/2</f>
        <v>100</v>
      </c>
      <c r="J1155" s="182"/>
      <c r="K1155" s="183" t="s">
        <v>6</v>
      </c>
      <c r="L1155" s="184"/>
      <c r="M1155" s="188"/>
      <c r="N1155" s="188"/>
      <c r="O1155" s="187"/>
      <c r="P1155" s="187">
        <f>O1153</f>
        <v>100</v>
      </c>
      <c r="Q1155" s="187">
        <f>(I1155+P1155)/2</f>
        <v>100</v>
      </c>
      <c r="R1155" s="191" t="s">
        <v>31</v>
      </c>
      <c r="S1155" s="579"/>
      <c r="T1155" s="123"/>
    </row>
    <row r="1156" spans="1:20" s="212" customFormat="1" ht="60" customHeight="1" x14ac:dyDescent="0.35">
      <c r="A1156" s="576"/>
      <c r="B1156" s="600"/>
      <c r="C1156" s="502" t="s">
        <v>164</v>
      </c>
      <c r="D1156" s="146" t="s">
        <v>211</v>
      </c>
      <c r="E1156" s="114"/>
      <c r="F1156" s="114"/>
      <c r="G1156" s="114"/>
      <c r="H1156" s="113"/>
      <c r="I1156" s="113"/>
      <c r="J1156" s="502" t="s">
        <v>164</v>
      </c>
      <c r="K1156" s="146" t="str">
        <f>D1156</f>
        <v>Реализация дополнительных общеразвивающих программ</v>
      </c>
      <c r="L1156" s="114"/>
      <c r="M1156" s="119"/>
      <c r="N1156" s="119"/>
      <c r="O1156" s="113"/>
      <c r="P1156" s="127"/>
      <c r="Q1156" s="113"/>
      <c r="R1156" s="114"/>
      <c r="S1156" s="579"/>
      <c r="T1156" s="211"/>
    </row>
    <row r="1157" spans="1:20" s="212" customFormat="1" ht="81.75" customHeight="1" x14ac:dyDescent="0.35">
      <c r="A1157" s="576"/>
      <c r="B1157" s="600"/>
      <c r="C1157" s="114" t="s">
        <v>165</v>
      </c>
      <c r="D1157" s="116" t="s">
        <v>138</v>
      </c>
      <c r="E1157" s="114" t="s">
        <v>25</v>
      </c>
      <c r="F1157" s="114">
        <v>90</v>
      </c>
      <c r="G1157" s="114">
        <v>90</v>
      </c>
      <c r="H1157" s="509">
        <f>IF(G1157/F1157*100&gt;100,100,G1157/F1157*100)</f>
        <v>100</v>
      </c>
      <c r="I1157" s="114"/>
      <c r="J1157" s="118" t="s">
        <v>165</v>
      </c>
      <c r="K1157" s="116" t="s">
        <v>469</v>
      </c>
      <c r="L1157" s="114" t="s">
        <v>339</v>
      </c>
      <c r="M1157" s="114">
        <v>48144</v>
      </c>
      <c r="N1157" s="114">
        <v>45334</v>
      </c>
      <c r="O1157" s="115">
        <f>IF(N1157/M1157*100&gt;110,110,N1157/M1157*100)</f>
        <v>94.163343303423062</v>
      </c>
      <c r="P1157" s="127"/>
      <c r="Q1157" s="113"/>
      <c r="R1157" s="114"/>
      <c r="S1157" s="579"/>
      <c r="T1157" s="211"/>
    </row>
    <row r="1158" spans="1:20" s="124" customFormat="1" ht="52.5" customHeight="1" x14ac:dyDescent="0.35">
      <c r="A1158" s="576"/>
      <c r="B1158" s="600"/>
      <c r="C1158" s="191"/>
      <c r="D1158" s="183" t="s">
        <v>6</v>
      </c>
      <c r="E1158" s="191"/>
      <c r="F1158" s="184"/>
      <c r="G1158" s="184"/>
      <c r="H1158" s="187"/>
      <c r="I1158" s="187">
        <f>H1157</f>
        <v>100</v>
      </c>
      <c r="J1158" s="182"/>
      <c r="K1158" s="183" t="s">
        <v>6</v>
      </c>
      <c r="L1158" s="184"/>
      <c r="M1158" s="188"/>
      <c r="N1158" s="188"/>
      <c r="O1158" s="187"/>
      <c r="P1158" s="187">
        <f>O1157</f>
        <v>94.163343303423062</v>
      </c>
      <c r="Q1158" s="187">
        <f>(I1158+P1158)/2</f>
        <v>97.081671651711531</v>
      </c>
      <c r="R1158" s="191" t="s">
        <v>361</v>
      </c>
      <c r="S1158" s="579"/>
      <c r="T1158" s="123"/>
    </row>
    <row r="1159" spans="1:20" s="212" customFormat="1" ht="78.75" customHeight="1" x14ac:dyDescent="0.35">
      <c r="A1159" s="576">
        <v>65</v>
      </c>
      <c r="B1159" s="600" t="s">
        <v>177</v>
      </c>
      <c r="C1159" s="502" t="s">
        <v>12</v>
      </c>
      <c r="D1159" s="146" t="s">
        <v>128</v>
      </c>
      <c r="E1159" s="502"/>
      <c r="F1159" s="502"/>
      <c r="G1159" s="502"/>
      <c r="H1159" s="113"/>
      <c r="I1159" s="113"/>
      <c r="J1159" s="502" t="s">
        <v>12</v>
      </c>
      <c r="K1159" s="146" t="s">
        <v>128</v>
      </c>
      <c r="L1159" s="114"/>
      <c r="M1159" s="114"/>
      <c r="N1159" s="114"/>
      <c r="O1159" s="113"/>
      <c r="P1159" s="127"/>
      <c r="Q1159" s="113"/>
      <c r="R1159" s="114"/>
      <c r="S1159" s="579" t="s">
        <v>280</v>
      </c>
      <c r="T1159" s="211"/>
    </row>
    <row r="1160" spans="1:20" s="212" customFormat="1" ht="78" customHeight="1" x14ac:dyDescent="0.35">
      <c r="A1160" s="576"/>
      <c r="B1160" s="600"/>
      <c r="C1160" s="114" t="s">
        <v>7</v>
      </c>
      <c r="D1160" s="116" t="s">
        <v>129</v>
      </c>
      <c r="E1160" s="114" t="s">
        <v>25</v>
      </c>
      <c r="F1160" s="114">
        <v>100</v>
      </c>
      <c r="G1160" s="114">
        <v>100</v>
      </c>
      <c r="H1160" s="509">
        <f t="shared" ref="H1160:H1164" si="111">IF(G1160/F1160*100&gt;100,100,G1160/F1160*100)</f>
        <v>100</v>
      </c>
      <c r="I1160" s="114"/>
      <c r="J1160" s="114" t="s">
        <v>7</v>
      </c>
      <c r="K1160" s="116" t="s">
        <v>89</v>
      </c>
      <c r="L1160" s="114" t="s">
        <v>38</v>
      </c>
      <c r="M1160" s="114">
        <v>297</v>
      </c>
      <c r="N1160" s="114">
        <v>281</v>
      </c>
      <c r="O1160" s="115">
        <f>IF(N1160/M1160*100&gt;110,110,N1160/M1160*100)</f>
        <v>94.612794612794616</v>
      </c>
      <c r="P1160" s="127"/>
      <c r="Q1160" s="113"/>
      <c r="R1160" s="114"/>
      <c r="S1160" s="579"/>
      <c r="T1160" s="211"/>
    </row>
    <row r="1161" spans="1:20" s="212" customFormat="1" x14ac:dyDescent="0.35">
      <c r="A1161" s="576"/>
      <c r="B1161" s="600"/>
      <c r="C1161" s="114" t="s">
        <v>8</v>
      </c>
      <c r="D1161" s="116" t="s">
        <v>561</v>
      </c>
      <c r="E1161" s="114" t="s">
        <v>25</v>
      </c>
      <c r="F1161" s="114">
        <v>100</v>
      </c>
      <c r="G1161" s="114">
        <v>100</v>
      </c>
      <c r="H1161" s="509">
        <f t="shared" si="111"/>
        <v>100</v>
      </c>
      <c r="I1161" s="114"/>
      <c r="J1161" s="114"/>
      <c r="K1161" s="503"/>
      <c r="L1161" s="114"/>
      <c r="M1161" s="117"/>
      <c r="N1161" s="117"/>
      <c r="O1161" s="115"/>
      <c r="P1161" s="127"/>
      <c r="Q1161" s="113"/>
      <c r="R1161" s="114"/>
      <c r="S1161" s="579"/>
      <c r="T1161" s="211"/>
    </row>
    <row r="1162" spans="1:20" s="212" customFormat="1" ht="60.75" customHeight="1" x14ac:dyDescent="0.35">
      <c r="A1162" s="576"/>
      <c r="B1162" s="600"/>
      <c r="C1162" s="114" t="s">
        <v>9</v>
      </c>
      <c r="D1162" s="116" t="s">
        <v>468</v>
      </c>
      <c r="E1162" s="114" t="s">
        <v>25</v>
      </c>
      <c r="F1162" s="114">
        <v>100</v>
      </c>
      <c r="G1162" s="114">
        <v>100</v>
      </c>
      <c r="H1162" s="509">
        <f t="shared" si="111"/>
        <v>100</v>
      </c>
      <c r="I1162" s="114"/>
      <c r="J1162" s="118"/>
      <c r="K1162" s="116"/>
      <c r="L1162" s="114"/>
      <c r="M1162" s="119"/>
      <c r="N1162" s="119"/>
      <c r="O1162" s="115"/>
      <c r="P1162" s="127"/>
      <c r="Q1162" s="113"/>
      <c r="R1162" s="114"/>
      <c r="S1162" s="579"/>
      <c r="T1162" s="211"/>
    </row>
    <row r="1163" spans="1:20" s="212" customFormat="1" ht="76.5" customHeight="1" x14ac:dyDescent="0.35">
      <c r="A1163" s="576"/>
      <c r="B1163" s="600"/>
      <c r="C1163" s="114" t="s">
        <v>10</v>
      </c>
      <c r="D1163" s="116" t="s">
        <v>88</v>
      </c>
      <c r="E1163" s="114" t="s">
        <v>25</v>
      </c>
      <c r="F1163" s="114">
        <v>90</v>
      </c>
      <c r="G1163" s="114">
        <v>100</v>
      </c>
      <c r="H1163" s="509">
        <f t="shared" si="111"/>
        <v>100</v>
      </c>
      <c r="I1163" s="114"/>
      <c r="J1163" s="118"/>
      <c r="K1163" s="116"/>
      <c r="L1163" s="114"/>
      <c r="M1163" s="119"/>
      <c r="N1163" s="119"/>
      <c r="O1163" s="115"/>
      <c r="P1163" s="127"/>
      <c r="Q1163" s="113"/>
      <c r="R1163" s="114"/>
      <c r="S1163" s="579"/>
      <c r="T1163" s="211"/>
    </row>
    <row r="1164" spans="1:20" s="212" customFormat="1" ht="114.75" customHeight="1" x14ac:dyDescent="0.35">
      <c r="A1164" s="576"/>
      <c r="B1164" s="600"/>
      <c r="C1164" s="114" t="s">
        <v>35</v>
      </c>
      <c r="D1164" s="116" t="s">
        <v>130</v>
      </c>
      <c r="E1164" s="114" t="s">
        <v>25</v>
      </c>
      <c r="F1164" s="114">
        <v>100</v>
      </c>
      <c r="G1164" s="114">
        <v>100</v>
      </c>
      <c r="H1164" s="509">
        <f t="shared" si="111"/>
        <v>100</v>
      </c>
      <c r="I1164" s="114"/>
      <c r="J1164" s="118"/>
      <c r="K1164" s="116"/>
      <c r="L1164" s="114"/>
      <c r="M1164" s="119"/>
      <c r="N1164" s="119"/>
      <c r="O1164" s="115"/>
      <c r="P1164" s="127"/>
      <c r="Q1164" s="113"/>
      <c r="R1164" s="114"/>
      <c r="S1164" s="579"/>
      <c r="T1164" s="211"/>
    </row>
    <row r="1165" spans="1:20" s="124" customFormat="1" ht="40.5" customHeight="1" x14ac:dyDescent="0.35">
      <c r="A1165" s="576"/>
      <c r="B1165" s="600"/>
      <c r="C1165" s="191"/>
      <c r="D1165" s="183" t="s">
        <v>6</v>
      </c>
      <c r="E1165" s="191"/>
      <c r="F1165" s="184"/>
      <c r="G1165" s="184"/>
      <c r="H1165" s="187"/>
      <c r="I1165" s="187">
        <f>(H1160+H1161+H1162+H1163+H1164)/5</f>
        <v>100</v>
      </c>
      <c r="J1165" s="182"/>
      <c r="K1165" s="183" t="s">
        <v>6</v>
      </c>
      <c r="L1165" s="184"/>
      <c r="M1165" s="188"/>
      <c r="N1165" s="188"/>
      <c r="O1165" s="187"/>
      <c r="P1165" s="187">
        <f>O1160</f>
        <v>94.612794612794616</v>
      </c>
      <c r="Q1165" s="187">
        <f>(I1165+P1165)/2</f>
        <v>97.306397306397315</v>
      </c>
      <c r="R1165" s="191" t="s">
        <v>361</v>
      </c>
      <c r="S1165" s="579"/>
      <c r="T1165" s="123"/>
    </row>
    <row r="1166" spans="1:20" s="212" customFormat="1" ht="72.75" customHeight="1" x14ac:dyDescent="0.35">
      <c r="A1166" s="576"/>
      <c r="B1166" s="600"/>
      <c r="C1166" s="502" t="s">
        <v>13</v>
      </c>
      <c r="D1166" s="146" t="s">
        <v>131</v>
      </c>
      <c r="E1166" s="114"/>
      <c r="F1166" s="114"/>
      <c r="G1166" s="114"/>
      <c r="H1166" s="113"/>
      <c r="I1166" s="113"/>
      <c r="J1166" s="502" t="s">
        <v>13</v>
      </c>
      <c r="K1166" s="146" t="s">
        <v>131</v>
      </c>
      <c r="L1166" s="114"/>
      <c r="M1166" s="119"/>
      <c r="N1166" s="119"/>
      <c r="O1166" s="113"/>
      <c r="P1166" s="127"/>
      <c r="Q1166" s="113"/>
      <c r="R1166" s="114"/>
      <c r="S1166" s="579"/>
      <c r="T1166" s="211"/>
    </row>
    <row r="1167" spans="1:20" s="212" customFormat="1" ht="71.25" customHeight="1" x14ac:dyDescent="0.35">
      <c r="A1167" s="576"/>
      <c r="B1167" s="600"/>
      <c r="C1167" s="114" t="s">
        <v>14</v>
      </c>
      <c r="D1167" s="116" t="s">
        <v>132</v>
      </c>
      <c r="E1167" s="114" t="s">
        <v>25</v>
      </c>
      <c r="F1167" s="114">
        <v>100</v>
      </c>
      <c r="G1167" s="114">
        <v>100</v>
      </c>
      <c r="H1167" s="509">
        <f t="shared" ref="H1167:H1171" si="112">IF(G1167/F1167*100&gt;100,100,G1167/F1167*100)</f>
        <v>100</v>
      </c>
      <c r="I1167" s="114"/>
      <c r="J1167" s="118" t="s">
        <v>14</v>
      </c>
      <c r="K1167" s="116" t="s">
        <v>89</v>
      </c>
      <c r="L1167" s="114" t="s">
        <v>38</v>
      </c>
      <c r="M1167" s="114">
        <v>333</v>
      </c>
      <c r="N1167" s="114">
        <v>332</v>
      </c>
      <c r="O1167" s="115">
        <f>IF(N1167/M1167*100&gt;110,110,N1167/M1167*100)</f>
        <v>99.699699699699693</v>
      </c>
      <c r="P1167" s="114"/>
      <c r="Q1167" s="113"/>
      <c r="R1167" s="114"/>
      <c r="S1167" s="579"/>
      <c r="T1167" s="211"/>
    </row>
    <row r="1168" spans="1:20" s="212" customFormat="1" ht="33.75" customHeight="1" x14ac:dyDescent="0.35">
      <c r="A1168" s="576"/>
      <c r="B1168" s="600"/>
      <c r="C1168" s="114" t="s">
        <v>15</v>
      </c>
      <c r="D1168" s="116" t="s">
        <v>559</v>
      </c>
      <c r="E1168" s="114" t="s">
        <v>25</v>
      </c>
      <c r="F1168" s="114">
        <v>100</v>
      </c>
      <c r="G1168" s="114">
        <v>100</v>
      </c>
      <c r="H1168" s="509">
        <f t="shared" si="112"/>
        <v>100</v>
      </c>
      <c r="I1168" s="114"/>
      <c r="J1168" s="118"/>
      <c r="K1168" s="116"/>
      <c r="L1168" s="114"/>
      <c r="M1168" s="119"/>
      <c r="N1168" s="119"/>
      <c r="O1168" s="115"/>
      <c r="P1168" s="127"/>
      <c r="Q1168" s="113"/>
      <c r="R1168" s="114"/>
      <c r="S1168" s="579"/>
      <c r="T1168" s="211"/>
    </row>
    <row r="1169" spans="1:20" s="212" customFormat="1" ht="52.5" customHeight="1" x14ac:dyDescent="0.35">
      <c r="A1169" s="576"/>
      <c r="B1169" s="600"/>
      <c r="C1169" s="114" t="s">
        <v>39</v>
      </c>
      <c r="D1169" s="116" t="s">
        <v>468</v>
      </c>
      <c r="E1169" s="114" t="s">
        <v>25</v>
      </c>
      <c r="F1169" s="114">
        <v>100</v>
      </c>
      <c r="G1169" s="114">
        <v>100</v>
      </c>
      <c r="H1169" s="509">
        <f t="shared" si="112"/>
        <v>100</v>
      </c>
      <c r="I1169" s="114"/>
      <c r="J1169" s="118"/>
      <c r="K1169" s="116"/>
      <c r="L1169" s="114"/>
      <c r="M1169" s="119"/>
      <c r="N1169" s="119"/>
      <c r="O1169" s="115"/>
      <c r="P1169" s="127"/>
      <c r="Q1169" s="113"/>
      <c r="R1169" s="114"/>
      <c r="S1169" s="579"/>
      <c r="T1169" s="211"/>
    </row>
    <row r="1170" spans="1:20" s="212" customFormat="1" ht="78" customHeight="1" x14ac:dyDescent="0.35">
      <c r="A1170" s="576"/>
      <c r="B1170" s="600"/>
      <c r="C1170" s="114" t="s">
        <v>45</v>
      </c>
      <c r="D1170" s="116" t="s">
        <v>88</v>
      </c>
      <c r="E1170" s="114" t="s">
        <v>25</v>
      </c>
      <c r="F1170" s="114">
        <v>90</v>
      </c>
      <c r="G1170" s="114">
        <v>100</v>
      </c>
      <c r="H1170" s="509">
        <f t="shared" si="112"/>
        <v>100</v>
      </c>
      <c r="I1170" s="114"/>
      <c r="J1170" s="118"/>
      <c r="K1170" s="116"/>
      <c r="L1170" s="114"/>
      <c r="M1170" s="119"/>
      <c r="N1170" s="119"/>
      <c r="O1170" s="115"/>
      <c r="P1170" s="127"/>
      <c r="Q1170" s="113"/>
      <c r="R1170" s="114"/>
      <c r="S1170" s="579"/>
      <c r="T1170" s="211"/>
    </row>
    <row r="1171" spans="1:20" s="212" customFormat="1" ht="123.75" customHeight="1" x14ac:dyDescent="0.35">
      <c r="A1171" s="576"/>
      <c r="B1171" s="600"/>
      <c r="C1171" s="114" t="s">
        <v>66</v>
      </c>
      <c r="D1171" s="116" t="s">
        <v>130</v>
      </c>
      <c r="E1171" s="114" t="s">
        <v>25</v>
      </c>
      <c r="F1171" s="114">
        <v>100</v>
      </c>
      <c r="G1171" s="114">
        <v>100</v>
      </c>
      <c r="H1171" s="509">
        <f t="shared" si="112"/>
        <v>100</v>
      </c>
      <c r="I1171" s="114"/>
      <c r="J1171" s="118"/>
      <c r="K1171" s="116"/>
      <c r="L1171" s="114"/>
      <c r="M1171" s="119"/>
      <c r="N1171" s="119"/>
      <c r="O1171" s="115"/>
      <c r="P1171" s="127"/>
      <c r="Q1171" s="113"/>
      <c r="R1171" s="114"/>
      <c r="S1171" s="579"/>
      <c r="T1171" s="211"/>
    </row>
    <row r="1172" spans="1:20" s="124" customFormat="1" ht="40.5" customHeight="1" x14ac:dyDescent="0.35">
      <c r="A1172" s="576"/>
      <c r="B1172" s="600"/>
      <c r="C1172" s="191"/>
      <c r="D1172" s="183" t="s">
        <v>6</v>
      </c>
      <c r="E1172" s="191"/>
      <c r="F1172" s="184"/>
      <c r="G1172" s="184"/>
      <c r="H1172" s="187"/>
      <c r="I1172" s="187">
        <f>(H1167+H1168+H1169+H1170+H1171)/5</f>
        <v>100</v>
      </c>
      <c r="J1172" s="182"/>
      <c r="K1172" s="183" t="s">
        <v>6</v>
      </c>
      <c r="L1172" s="184"/>
      <c r="M1172" s="188"/>
      <c r="N1172" s="188"/>
      <c r="O1172" s="187"/>
      <c r="P1172" s="187">
        <f>O1167</f>
        <v>99.699699699699693</v>
      </c>
      <c r="Q1172" s="187">
        <f>(I1172+P1172)/2</f>
        <v>99.849849849849846</v>
      </c>
      <c r="R1172" s="191" t="s">
        <v>361</v>
      </c>
      <c r="S1172" s="579"/>
      <c r="T1172" s="123"/>
    </row>
    <row r="1173" spans="1:20" s="212" customFormat="1" ht="77.25" customHeight="1" x14ac:dyDescent="0.35">
      <c r="A1173" s="576"/>
      <c r="B1173" s="600"/>
      <c r="C1173" s="502" t="s">
        <v>28</v>
      </c>
      <c r="D1173" s="146" t="s">
        <v>133</v>
      </c>
      <c r="E1173" s="114"/>
      <c r="F1173" s="114"/>
      <c r="G1173" s="114"/>
      <c r="H1173" s="113"/>
      <c r="I1173" s="113"/>
      <c r="J1173" s="502" t="s">
        <v>28</v>
      </c>
      <c r="K1173" s="146" t="str">
        <f>D1173</f>
        <v>Реализация основных общеобразовательных программ среднего общего образования</v>
      </c>
      <c r="L1173" s="114"/>
      <c r="M1173" s="119"/>
      <c r="N1173" s="119"/>
      <c r="O1173" s="113"/>
      <c r="P1173" s="127"/>
      <c r="Q1173" s="113"/>
      <c r="R1173" s="114"/>
      <c r="S1173" s="579"/>
      <c r="T1173" s="211"/>
    </row>
    <row r="1174" spans="1:20" s="212" customFormat="1" ht="71.25" customHeight="1" x14ac:dyDescent="0.35">
      <c r="A1174" s="576"/>
      <c r="B1174" s="600"/>
      <c r="C1174" s="114" t="s">
        <v>29</v>
      </c>
      <c r="D1174" s="116" t="s">
        <v>134</v>
      </c>
      <c r="E1174" s="114" t="s">
        <v>25</v>
      </c>
      <c r="F1174" s="114">
        <v>100</v>
      </c>
      <c r="G1174" s="114">
        <v>100</v>
      </c>
      <c r="H1174" s="509">
        <f t="shared" ref="H1174:H1178" si="113">IF(G1174/F1174*100&gt;100,100,G1174/F1174*100)</f>
        <v>100</v>
      </c>
      <c r="I1174" s="114"/>
      <c r="J1174" s="118" t="s">
        <v>29</v>
      </c>
      <c r="K1174" s="116" t="s">
        <v>89</v>
      </c>
      <c r="L1174" s="114" t="s">
        <v>38</v>
      </c>
      <c r="M1174" s="114">
        <v>47</v>
      </c>
      <c r="N1174" s="114">
        <v>48</v>
      </c>
      <c r="O1174" s="115">
        <f>IF(N1174/M1174*100&gt;110,110,N1174/M1174*100)</f>
        <v>102.12765957446808</v>
      </c>
      <c r="P1174" s="114"/>
      <c r="Q1174" s="113"/>
      <c r="R1174" s="114"/>
      <c r="S1174" s="579"/>
      <c r="T1174" s="211"/>
    </row>
    <row r="1175" spans="1:20" s="212" customFormat="1" x14ac:dyDescent="0.35">
      <c r="A1175" s="576"/>
      <c r="B1175" s="600"/>
      <c r="C1175" s="114" t="s">
        <v>30</v>
      </c>
      <c r="D1175" s="116" t="s">
        <v>560</v>
      </c>
      <c r="E1175" s="114" t="s">
        <v>25</v>
      </c>
      <c r="F1175" s="114">
        <v>100</v>
      </c>
      <c r="G1175" s="114">
        <v>100</v>
      </c>
      <c r="H1175" s="509">
        <f t="shared" si="113"/>
        <v>100</v>
      </c>
      <c r="I1175" s="114"/>
      <c r="J1175" s="118"/>
      <c r="K1175" s="116"/>
      <c r="L1175" s="114"/>
      <c r="M1175" s="119"/>
      <c r="N1175" s="119"/>
      <c r="O1175" s="115"/>
      <c r="P1175" s="127"/>
      <c r="Q1175" s="113"/>
      <c r="R1175" s="114"/>
      <c r="S1175" s="579"/>
      <c r="T1175" s="211"/>
    </row>
    <row r="1176" spans="1:20" s="212" customFormat="1" ht="45" customHeight="1" x14ac:dyDescent="0.35">
      <c r="A1176" s="576"/>
      <c r="B1176" s="600"/>
      <c r="C1176" s="114" t="s">
        <v>52</v>
      </c>
      <c r="D1176" s="116" t="s">
        <v>468</v>
      </c>
      <c r="E1176" s="114" t="s">
        <v>25</v>
      </c>
      <c r="F1176" s="114">
        <v>100</v>
      </c>
      <c r="G1176" s="114">
        <v>100</v>
      </c>
      <c r="H1176" s="509">
        <f t="shared" si="113"/>
        <v>100</v>
      </c>
      <c r="I1176" s="114"/>
      <c r="J1176" s="118"/>
      <c r="K1176" s="116"/>
      <c r="L1176" s="114"/>
      <c r="M1176" s="119"/>
      <c r="N1176" s="119"/>
      <c r="O1176" s="115"/>
      <c r="P1176" s="127"/>
      <c r="Q1176" s="113"/>
      <c r="R1176" s="114"/>
      <c r="S1176" s="579"/>
      <c r="T1176" s="211"/>
    </row>
    <row r="1177" spans="1:20" s="212" customFormat="1" ht="57" customHeight="1" x14ac:dyDescent="0.35">
      <c r="A1177" s="576"/>
      <c r="B1177" s="600"/>
      <c r="C1177" s="114" t="s">
        <v>53</v>
      </c>
      <c r="D1177" s="116" t="s">
        <v>88</v>
      </c>
      <c r="E1177" s="114" t="s">
        <v>25</v>
      </c>
      <c r="F1177" s="114">
        <v>90</v>
      </c>
      <c r="G1177" s="114">
        <v>100</v>
      </c>
      <c r="H1177" s="509">
        <f t="shared" si="113"/>
        <v>100</v>
      </c>
      <c r="I1177" s="114"/>
      <c r="J1177" s="118"/>
      <c r="K1177" s="116"/>
      <c r="L1177" s="114"/>
      <c r="M1177" s="119"/>
      <c r="N1177" s="119"/>
      <c r="O1177" s="115"/>
      <c r="P1177" s="127"/>
      <c r="Q1177" s="113"/>
      <c r="R1177" s="114"/>
      <c r="S1177" s="579"/>
      <c r="T1177" s="211"/>
    </row>
    <row r="1178" spans="1:20" s="212" customFormat="1" ht="129" customHeight="1" x14ac:dyDescent="0.35">
      <c r="A1178" s="576"/>
      <c r="B1178" s="600"/>
      <c r="C1178" s="114" t="s">
        <v>135</v>
      </c>
      <c r="D1178" s="116" t="s">
        <v>130</v>
      </c>
      <c r="E1178" s="114" t="s">
        <v>25</v>
      </c>
      <c r="F1178" s="114">
        <v>100</v>
      </c>
      <c r="G1178" s="114">
        <v>100</v>
      </c>
      <c r="H1178" s="509">
        <f t="shared" si="113"/>
        <v>100</v>
      </c>
      <c r="I1178" s="114"/>
      <c r="J1178" s="118"/>
      <c r="K1178" s="116"/>
      <c r="L1178" s="114"/>
      <c r="M1178" s="119"/>
      <c r="N1178" s="119"/>
      <c r="O1178" s="115"/>
      <c r="P1178" s="127"/>
      <c r="Q1178" s="113"/>
      <c r="R1178" s="114"/>
      <c r="S1178" s="579"/>
      <c r="T1178" s="211"/>
    </row>
    <row r="1179" spans="1:20" s="124" customFormat="1" ht="40.5" customHeight="1" x14ac:dyDescent="0.35">
      <c r="A1179" s="576"/>
      <c r="B1179" s="600"/>
      <c r="C1179" s="191"/>
      <c r="D1179" s="183" t="s">
        <v>6</v>
      </c>
      <c r="E1179" s="191"/>
      <c r="F1179" s="184"/>
      <c r="G1179" s="184"/>
      <c r="H1179" s="187"/>
      <c r="I1179" s="187">
        <f>(H1174+H1175+H1176+H1177+H1178)/5</f>
        <v>100</v>
      </c>
      <c r="J1179" s="182"/>
      <c r="K1179" s="183" t="s">
        <v>6</v>
      </c>
      <c r="L1179" s="184"/>
      <c r="M1179" s="188"/>
      <c r="N1179" s="188"/>
      <c r="O1179" s="187"/>
      <c r="P1179" s="187">
        <f>O1174</f>
        <v>102.12765957446808</v>
      </c>
      <c r="Q1179" s="187">
        <f>(I1179+P1179)/2</f>
        <v>101.06382978723404</v>
      </c>
      <c r="R1179" s="191" t="s">
        <v>31</v>
      </c>
      <c r="S1179" s="579"/>
      <c r="T1179" s="123"/>
    </row>
    <row r="1180" spans="1:20" s="212" customFormat="1" x14ac:dyDescent="0.35">
      <c r="A1180" s="576"/>
      <c r="B1180" s="600"/>
      <c r="C1180" s="502" t="s">
        <v>42</v>
      </c>
      <c r="D1180" s="146" t="s">
        <v>90</v>
      </c>
      <c r="E1180" s="114"/>
      <c r="F1180" s="114"/>
      <c r="G1180" s="114"/>
      <c r="H1180" s="113"/>
      <c r="I1180" s="113"/>
      <c r="J1180" s="502" t="s">
        <v>42</v>
      </c>
      <c r="K1180" s="146" t="s">
        <v>90</v>
      </c>
      <c r="L1180" s="114"/>
      <c r="M1180" s="119"/>
      <c r="N1180" s="119"/>
      <c r="O1180" s="113"/>
      <c r="P1180" s="127"/>
      <c r="Q1180" s="113"/>
      <c r="R1180" s="114"/>
      <c r="S1180" s="579"/>
      <c r="T1180" s="211"/>
    </row>
    <row r="1181" spans="1:20" s="212" customFormat="1" ht="48.75" customHeight="1" x14ac:dyDescent="0.35">
      <c r="A1181" s="576"/>
      <c r="B1181" s="600"/>
      <c r="C1181" s="114" t="s">
        <v>43</v>
      </c>
      <c r="D1181" s="116" t="s">
        <v>136</v>
      </c>
      <c r="E1181" s="114" t="s">
        <v>25</v>
      </c>
      <c r="F1181" s="114">
        <v>100</v>
      </c>
      <c r="G1181" s="114">
        <v>100</v>
      </c>
      <c r="H1181" s="509">
        <f t="shared" ref="H1181:H1182" si="114">IF(G1181/F1181*100&gt;100,100,G1181/F1181*100)</f>
        <v>100</v>
      </c>
      <c r="I1181" s="114"/>
      <c r="J1181" s="118" t="s">
        <v>43</v>
      </c>
      <c r="K1181" s="116" t="s">
        <v>89</v>
      </c>
      <c r="L1181" s="114" t="s">
        <v>38</v>
      </c>
      <c r="M1181" s="114">
        <v>78</v>
      </c>
      <c r="N1181" s="114">
        <v>78</v>
      </c>
      <c r="O1181" s="115">
        <f>IF(N1181/M1181*100&gt;110,110,N1181/M1181*100)</f>
        <v>100</v>
      </c>
      <c r="P1181" s="127"/>
      <c r="Q1181" s="113"/>
      <c r="R1181" s="114"/>
      <c r="S1181" s="579"/>
      <c r="T1181" s="211"/>
    </row>
    <row r="1182" spans="1:20" s="212" customFormat="1" ht="84" customHeight="1" x14ac:dyDescent="0.35">
      <c r="A1182" s="576"/>
      <c r="B1182" s="600"/>
      <c r="C1182" s="114" t="s">
        <v>137</v>
      </c>
      <c r="D1182" s="116" t="s">
        <v>138</v>
      </c>
      <c r="E1182" s="114" t="s">
        <v>25</v>
      </c>
      <c r="F1182" s="114">
        <v>90</v>
      </c>
      <c r="G1182" s="114">
        <v>90</v>
      </c>
      <c r="H1182" s="509">
        <f t="shared" si="114"/>
        <v>100</v>
      </c>
      <c r="I1182" s="114"/>
      <c r="J1182" s="118"/>
      <c r="K1182" s="116"/>
      <c r="L1182" s="114"/>
      <c r="M1182" s="119"/>
      <c r="N1182" s="119"/>
      <c r="O1182" s="115"/>
      <c r="P1182" s="127"/>
      <c r="Q1182" s="113"/>
      <c r="R1182" s="114"/>
      <c r="S1182" s="579"/>
      <c r="T1182" s="211"/>
    </row>
    <row r="1183" spans="1:20" s="124" customFormat="1" ht="40.5" customHeight="1" x14ac:dyDescent="0.35">
      <c r="A1183" s="576"/>
      <c r="B1183" s="600"/>
      <c r="C1183" s="191"/>
      <c r="D1183" s="183" t="s">
        <v>6</v>
      </c>
      <c r="E1183" s="191"/>
      <c r="F1183" s="184"/>
      <c r="G1183" s="184"/>
      <c r="H1183" s="187"/>
      <c r="I1183" s="187">
        <f>(H1181+H1182)/2</f>
        <v>100</v>
      </c>
      <c r="J1183" s="182"/>
      <c r="K1183" s="183" t="s">
        <v>6</v>
      </c>
      <c r="L1183" s="184"/>
      <c r="M1183" s="188"/>
      <c r="N1183" s="188"/>
      <c r="O1183" s="187"/>
      <c r="P1183" s="187">
        <f>O1181</f>
        <v>100</v>
      </c>
      <c r="Q1183" s="187">
        <f>(I1183+P1183)/2</f>
        <v>100</v>
      </c>
      <c r="R1183" s="191" t="s">
        <v>31</v>
      </c>
      <c r="S1183" s="579"/>
      <c r="T1183" s="123"/>
    </row>
    <row r="1184" spans="1:20" s="212" customFormat="1" ht="63.75" customHeight="1" x14ac:dyDescent="0.35">
      <c r="A1184" s="576"/>
      <c r="B1184" s="600"/>
      <c r="C1184" s="502" t="s">
        <v>164</v>
      </c>
      <c r="D1184" s="146" t="s">
        <v>211</v>
      </c>
      <c r="E1184" s="114"/>
      <c r="F1184" s="114"/>
      <c r="G1184" s="114"/>
      <c r="H1184" s="113"/>
      <c r="I1184" s="113"/>
      <c r="J1184" s="502" t="s">
        <v>164</v>
      </c>
      <c r="K1184" s="146" t="str">
        <f>D1184</f>
        <v>Реализация дополнительных общеразвивающих программ</v>
      </c>
      <c r="L1184" s="114"/>
      <c r="M1184" s="119"/>
      <c r="N1184" s="119"/>
      <c r="O1184" s="113"/>
      <c r="P1184" s="127"/>
      <c r="Q1184" s="113"/>
      <c r="R1184" s="114"/>
      <c r="S1184" s="579"/>
      <c r="T1184" s="211"/>
    </row>
    <row r="1185" spans="1:21" s="212" customFormat="1" ht="86.25" customHeight="1" x14ac:dyDescent="0.35">
      <c r="A1185" s="576"/>
      <c r="B1185" s="600"/>
      <c r="C1185" s="114" t="s">
        <v>165</v>
      </c>
      <c r="D1185" s="116" t="s">
        <v>138</v>
      </c>
      <c r="E1185" s="114" t="s">
        <v>25</v>
      </c>
      <c r="F1185" s="114">
        <v>90</v>
      </c>
      <c r="G1185" s="114">
        <v>90</v>
      </c>
      <c r="H1185" s="509">
        <f>IF(G1185/F1185*100&gt;100,100,G1185/F1185*100)</f>
        <v>100</v>
      </c>
      <c r="I1185" s="114"/>
      <c r="J1185" s="118" t="str">
        <f>C1185</f>
        <v>5.1.</v>
      </c>
      <c r="K1185" s="116" t="s">
        <v>469</v>
      </c>
      <c r="L1185" s="114" t="s">
        <v>339</v>
      </c>
      <c r="M1185" s="114">
        <v>49248</v>
      </c>
      <c r="N1185" s="114">
        <v>50544</v>
      </c>
      <c r="O1185" s="115">
        <f>IF(N1185/M1185*100&gt;110,110,N1185/M1185*100)</f>
        <v>102.63157894736842</v>
      </c>
      <c r="P1185" s="127"/>
      <c r="Q1185" s="113"/>
      <c r="R1185" s="114"/>
      <c r="S1185" s="579"/>
      <c r="T1185" s="211"/>
    </row>
    <row r="1186" spans="1:21" s="124" customFormat="1" ht="39" customHeight="1" x14ac:dyDescent="0.35">
      <c r="A1186" s="576"/>
      <c r="B1186" s="600"/>
      <c r="C1186" s="191"/>
      <c r="D1186" s="183" t="s">
        <v>6</v>
      </c>
      <c r="E1186" s="191"/>
      <c r="F1186" s="184"/>
      <c r="G1186" s="184"/>
      <c r="H1186" s="187"/>
      <c r="I1186" s="187">
        <f>H1185</f>
        <v>100</v>
      </c>
      <c r="J1186" s="182"/>
      <c r="K1186" s="183" t="s">
        <v>6</v>
      </c>
      <c r="L1186" s="184"/>
      <c r="M1186" s="188"/>
      <c r="N1186" s="188"/>
      <c r="O1186" s="187"/>
      <c r="P1186" s="187">
        <f>O1185</f>
        <v>102.63157894736842</v>
      </c>
      <c r="Q1186" s="187">
        <f>(I1186+P1186)/2</f>
        <v>101.31578947368422</v>
      </c>
      <c r="R1186" s="191" t="s">
        <v>31</v>
      </c>
      <c r="S1186" s="579"/>
      <c r="T1186" s="123"/>
    </row>
    <row r="1187" spans="1:21" s="212" customFormat="1" ht="76.5" customHeight="1" x14ac:dyDescent="0.35">
      <c r="A1187" s="576">
        <v>66</v>
      </c>
      <c r="B1187" s="600" t="s">
        <v>178</v>
      </c>
      <c r="C1187" s="502" t="s">
        <v>12</v>
      </c>
      <c r="D1187" s="146" t="s">
        <v>128</v>
      </c>
      <c r="E1187" s="502"/>
      <c r="F1187" s="502"/>
      <c r="G1187" s="502"/>
      <c r="H1187" s="113"/>
      <c r="I1187" s="113"/>
      <c r="J1187" s="502" t="s">
        <v>12</v>
      </c>
      <c r="K1187" s="146" t="s">
        <v>128</v>
      </c>
      <c r="L1187" s="114"/>
      <c r="M1187" s="114"/>
      <c r="N1187" s="114"/>
      <c r="O1187" s="113"/>
      <c r="P1187" s="127"/>
      <c r="Q1187" s="113"/>
      <c r="R1187" s="114"/>
      <c r="S1187" s="579" t="s">
        <v>280</v>
      </c>
      <c r="T1187" s="211"/>
    </row>
    <row r="1188" spans="1:21" s="212" customFormat="1" ht="76.5" customHeight="1" x14ac:dyDescent="0.35">
      <c r="A1188" s="576"/>
      <c r="B1188" s="600"/>
      <c r="C1188" s="114" t="s">
        <v>7</v>
      </c>
      <c r="D1188" s="116" t="s">
        <v>129</v>
      </c>
      <c r="E1188" s="114" t="s">
        <v>25</v>
      </c>
      <c r="F1188" s="114">
        <v>100</v>
      </c>
      <c r="G1188" s="114">
        <v>100</v>
      </c>
      <c r="H1188" s="509">
        <f t="shared" ref="H1188:H1192" si="115">IF(G1188/F1188*100&gt;100,100,G1188/F1188*100)</f>
        <v>100</v>
      </c>
      <c r="I1188" s="114"/>
      <c r="J1188" s="114" t="s">
        <v>7</v>
      </c>
      <c r="K1188" s="116" t="s">
        <v>89</v>
      </c>
      <c r="L1188" s="114" t="s">
        <v>38</v>
      </c>
      <c r="M1188" s="114">
        <v>241</v>
      </c>
      <c r="N1188" s="114">
        <v>239</v>
      </c>
      <c r="O1188" s="115">
        <f>IF(N1188/M1188*100&gt;110,110,N1188/M1188*100)</f>
        <v>99.170124481327804</v>
      </c>
      <c r="P1188" s="127"/>
      <c r="Q1188" s="113"/>
      <c r="R1188" s="114"/>
      <c r="S1188" s="579"/>
      <c r="T1188" s="211"/>
    </row>
    <row r="1189" spans="1:21" s="212" customFormat="1" ht="45" customHeight="1" x14ac:dyDescent="0.35">
      <c r="A1189" s="576"/>
      <c r="B1189" s="600"/>
      <c r="C1189" s="114" t="s">
        <v>8</v>
      </c>
      <c r="D1189" s="116" t="s">
        <v>561</v>
      </c>
      <c r="E1189" s="114" t="s">
        <v>25</v>
      </c>
      <c r="F1189" s="114">
        <v>100</v>
      </c>
      <c r="G1189" s="114">
        <v>100</v>
      </c>
      <c r="H1189" s="509">
        <f t="shared" si="115"/>
        <v>100</v>
      </c>
      <c r="I1189" s="114"/>
      <c r="J1189" s="114"/>
      <c r="K1189" s="503"/>
      <c r="L1189" s="114"/>
      <c r="M1189" s="117"/>
      <c r="N1189" s="117"/>
      <c r="O1189" s="115"/>
      <c r="P1189" s="127"/>
      <c r="Q1189" s="113"/>
      <c r="R1189" s="114"/>
      <c r="S1189" s="579"/>
      <c r="T1189" s="211"/>
    </row>
    <row r="1190" spans="1:21" s="212" customFormat="1" ht="45" customHeight="1" x14ac:dyDescent="0.35">
      <c r="A1190" s="576"/>
      <c r="B1190" s="600"/>
      <c r="C1190" s="114" t="s">
        <v>9</v>
      </c>
      <c r="D1190" s="116" t="s">
        <v>468</v>
      </c>
      <c r="E1190" s="114" t="s">
        <v>25</v>
      </c>
      <c r="F1190" s="114">
        <v>100</v>
      </c>
      <c r="G1190" s="114">
        <v>100</v>
      </c>
      <c r="H1190" s="509">
        <f t="shared" si="115"/>
        <v>100</v>
      </c>
      <c r="I1190" s="114"/>
      <c r="J1190" s="118"/>
      <c r="K1190" s="116"/>
      <c r="L1190" s="114"/>
      <c r="M1190" s="119"/>
      <c r="N1190" s="119"/>
      <c r="O1190" s="115"/>
      <c r="P1190" s="127"/>
      <c r="Q1190" s="113"/>
      <c r="R1190" s="114"/>
      <c r="S1190" s="579"/>
      <c r="T1190" s="211"/>
    </row>
    <row r="1191" spans="1:21" s="212" customFormat="1" ht="63.75" customHeight="1" x14ac:dyDescent="0.35">
      <c r="A1191" s="576"/>
      <c r="B1191" s="600"/>
      <c r="C1191" s="114" t="s">
        <v>10</v>
      </c>
      <c r="D1191" s="116" t="s">
        <v>390</v>
      </c>
      <c r="E1191" s="114" t="s">
        <v>25</v>
      </c>
      <c r="F1191" s="114">
        <v>90</v>
      </c>
      <c r="G1191" s="114">
        <v>100</v>
      </c>
      <c r="H1191" s="509">
        <f t="shared" si="115"/>
        <v>100</v>
      </c>
      <c r="I1191" s="114"/>
      <c r="J1191" s="118"/>
      <c r="K1191" s="116"/>
      <c r="L1191" s="114"/>
      <c r="M1191" s="119"/>
      <c r="N1191" s="119"/>
      <c r="O1191" s="115"/>
      <c r="P1191" s="127"/>
      <c r="Q1191" s="113"/>
      <c r="R1191" s="114"/>
      <c r="S1191" s="579"/>
      <c r="T1191" s="211"/>
    </row>
    <row r="1192" spans="1:21" s="212" customFormat="1" ht="124.5" customHeight="1" x14ac:dyDescent="0.35">
      <c r="A1192" s="576"/>
      <c r="B1192" s="600"/>
      <c r="C1192" s="114" t="s">
        <v>35</v>
      </c>
      <c r="D1192" s="116" t="s">
        <v>130</v>
      </c>
      <c r="E1192" s="114" t="s">
        <v>25</v>
      </c>
      <c r="F1192" s="114">
        <v>100</v>
      </c>
      <c r="G1192" s="114">
        <v>100</v>
      </c>
      <c r="H1192" s="509">
        <f t="shared" si="115"/>
        <v>100</v>
      </c>
      <c r="I1192" s="114"/>
      <c r="J1192" s="118"/>
      <c r="K1192" s="116"/>
      <c r="L1192" s="114"/>
      <c r="M1192" s="119"/>
      <c r="N1192" s="119"/>
      <c r="O1192" s="115"/>
      <c r="P1192" s="127"/>
      <c r="Q1192" s="113"/>
      <c r="R1192" s="114"/>
      <c r="S1192" s="579"/>
      <c r="T1192" s="211"/>
    </row>
    <row r="1193" spans="1:21" s="124" customFormat="1" ht="40.5" customHeight="1" x14ac:dyDescent="0.35">
      <c r="A1193" s="576"/>
      <c r="B1193" s="600"/>
      <c r="C1193" s="191"/>
      <c r="D1193" s="183" t="s">
        <v>6</v>
      </c>
      <c r="E1193" s="191"/>
      <c r="F1193" s="184"/>
      <c r="G1193" s="184"/>
      <c r="H1193" s="187"/>
      <c r="I1193" s="187">
        <f>(H1188+H1189+H1190+H1191+H1192)/5</f>
        <v>100</v>
      </c>
      <c r="J1193" s="182"/>
      <c r="K1193" s="183" t="s">
        <v>6</v>
      </c>
      <c r="L1193" s="184"/>
      <c r="M1193" s="188"/>
      <c r="N1193" s="188"/>
      <c r="O1193" s="187"/>
      <c r="P1193" s="187">
        <f>O1188</f>
        <v>99.170124481327804</v>
      </c>
      <c r="Q1193" s="187">
        <f>(I1193+P1193)/2</f>
        <v>99.585062240663902</v>
      </c>
      <c r="R1193" s="191" t="s">
        <v>361</v>
      </c>
      <c r="S1193" s="579"/>
      <c r="T1193" s="123"/>
    </row>
    <row r="1194" spans="1:21" s="212" customFormat="1" ht="78.75" customHeight="1" x14ac:dyDescent="0.35">
      <c r="A1194" s="576"/>
      <c r="B1194" s="600"/>
      <c r="C1194" s="502" t="s">
        <v>13</v>
      </c>
      <c r="D1194" s="146" t="s">
        <v>131</v>
      </c>
      <c r="E1194" s="114"/>
      <c r="F1194" s="114"/>
      <c r="G1194" s="114"/>
      <c r="H1194" s="113"/>
      <c r="I1194" s="113"/>
      <c r="J1194" s="502" t="s">
        <v>13</v>
      </c>
      <c r="K1194" s="146" t="s">
        <v>131</v>
      </c>
      <c r="L1194" s="114"/>
      <c r="M1194" s="119"/>
      <c r="N1194" s="119"/>
      <c r="O1194" s="113"/>
      <c r="P1194" s="127"/>
      <c r="Q1194" s="113"/>
      <c r="R1194" s="114"/>
      <c r="S1194" s="579"/>
      <c r="T1194" s="211"/>
    </row>
    <row r="1195" spans="1:21" s="212" customFormat="1" ht="65.25" customHeight="1" x14ac:dyDescent="0.35">
      <c r="A1195" s="576"/>
      <c r="B1195" s="600"/>
      <c r="C1195" s="114" t="s">
        <v>14</v>
      </c>
      <c r="D1195" s="116" t="s">
        <v>132</v>
      </c>
      <c r="E1195" s="114" t="s">
        <v>25</v>
      </c>
      <c r="F1195" s="114">
        <v>100</v>
      </c>
      <c r="G1195" s="114">
        <v>100</v>
      </c>
      <c r="H1195" s="509">
        <f t="shared" ref="H1195:H1199" si="116">IF(G1195/F1195*100&gt;100,100,G1195/F1195*100)</f>
        <v>100</v>
      </c>
      <c r="I1195" s="114"/>
      <c r="J1195" s="118" t="s">
        <v>14</v>
      </c>
      <c r="K1195" s="116" t="s">
        <v>89</v>
      </c>
      <c r="L1195" s="114" t="s">
        <v>38</v>
      </c>
      <c r="M1195" s="114">
        <v>292</v>
      </c>
      <c r="N1195" s="114">
        <v>304</v>
      </c>
      <c r="O1195" s="115">
        <f>IF(N1195/M1195*100&gt;110,110,N1195/M1195*100)</f>
        <v>104.10958904109589</v>
      </c>
      <c r="P1195" s="114"/>
      <c r="Q1195" s="113"/>
      <c r="R1195" s="114"/>
      <c r="S1195" s="579"/>
      <c r="T1195" s="211"/>
    </row>
    <row r="1196" spans="1:21" s="212" customFormat="1" ht="45" customHeight="1" x14ac:dyDescent="0.35">
      <c r="A1196" s="576"/>
      <c r="B1196" s="600"/>
      <c r="C1196" s="114" t="s">
        <v>15</v>
      </c>
      <c r="D1196" s="116" t="s">
        <v>559</v>
      </c>
      <c r="E1196" s="114" t="s">
        <v>25</v>
      </c>
      <c r="F1196" s="114">
        <v>100</v>
      </c>
      <c r="G1196" s="114">
        <v>100</v>
      </c>
      <c r="H1196" s="509">
        <f t="shared" si="116"/>
        <v>100</v>
      </c>
      <c r="I1196" s="114"/>
      <c r="J1196" s="118"/>
      <c r="K1196" s="116"/>
      <c r="L1196" s="114"/>
      <c r="M1196" s="119"/>
      <c r="N1196" s="119"/>
      <c r="O1196" s="115"/>
      <c r="P1196" s="127"/>
      <c r="Q1196" s="113"/>
      <c r="R1196" s="114"/>
      <c r="S1196" s="579"/>
      <c r="T1196" s="211"/>
    </row>
    <row r="1197" spans="1:21" s="212" customFormat="1" ht="45.75" customHeight="1" x14ac:dyDescent="0.35">
      <c r="A1197" s="576"/>
      <c r="B1197" s="600"/>
      <c r="C1197" s="114" t="s">
        <v>39</v>
      </c>
      <c r="D1197" s="116" t="s">
        <v>468</v>
      </c>
      <c r="E1197" s="114" t="s">
        <v>25</v>
      </c>
      <c r="F1197" s="114">
        <v>100</v>
      </c>
      <c r="G1197" s="114">
        <v>100</v>
      </c>
      <c r="H1197" s="509">
        <f t="shared" si="116"/>
        <v>100</v>
      </c>
      <c r="I1197" s="114"/>
      <c r="J1197" s="118"/>
      <c r="K1197" s="116"/>
      <c r="L1197" s="114"/>
      <c r="M1197" s="119"/>
      <c r="N1197" s="119"/>
      <c r="O1197" s="115"/>
      <c r="P1197" s="127"/>
      <c r="Q1197" s="113"/>
      <c r="R1197" s="114"/>
      <c r="S1197" s="579"/>
      <c r="T1197" s="211"/>
    </row>
    <row r="1198" spans="1:21" s="212" customFormat="1" ht="73.5" customHeight="1" x14ac:dyDescent="0.35">
      <c r="A1198" s="576"/>
      <c r="B1198" s="600"/>
      <c r="C1198" s="114" t="s">
        <v>45</v>
      </c>
      <c r="D1198" s="116" t="s">
        <v>88</v>
      </c>
      <c r="E1198" s="114" t="s">
        <v>25</v>
      </c>
      <c r="F1198" s="114">
        <v>90</v>
      </c>
      <c r="G1198" s="114">
        <v>100</v>
      </c>
      <c r="H1198" s="509">
        <f t="shared" si="116"/>
        <v>100</v>
      </c>
      <c r="I1198" s="114"/>
      <c r="J1198" s="118"/>
      <c r="K1198" s="116"/>
      <c r="L1198" s="114"/>
      <c r="M1198" s="119"/>
      <c r="N1198" s="119"/>
      <c r="O1198" s="115"/>
      <c r="P1198" s="127"/>
      <c r="Q1198" s="113"/>
      <c r="R1198" s="114"/>
      <c r="S1198" s="579"/>
      <c r="T1198" s="211"/>
    </row>
    <row r="1199" spans="1:21" s="212" customFormat="1" ht="125.25" customHeight="1" x14ac:dyDescent="0.35">
      <c r="A1199" s="576"/>
      <c r="B1199" s="600"/>
      <c r="C1199" s="114" t="s">
        <v>66</v>
      </c>
      <c r="D1199" s="116" t="s">
        <v>130</v>
      </c>
      <c r="E1199" s="114" t="s">
        <v>25</v>
      </c>
      <c r="F1199" s="114">
        <v>100</v>
      </c>
      <c r="G1199" s="114">
        <v>100</v>
      </c>
      <c r="H1199" s="509">
        <f t="shared" si="116"/>
        <v>100</v>
      </c>
      <c r="I1199" s="114"/>
      <c r="J1199" s="118"/>
      <c r="K1199" s="116"/>
      <c r="L1199" s="114"/>
      <c r="M1199" s="119"/>
      <c r="N1199" s="119"/>
      <c r="O1199" s="115"/>
      <c r="P1199" s="127"/>
      <c r="Q1199" s="113"/>
      <c r="R1199" s="114"/>
      <c r="S1199" s="579"/>
      <c r="T1199" s="211"/>
    </row>
    <row r="1200" spans="1:21" s="124" customFormat="1" ht="40.5" customHeight="1" x14ac:dyDescent="0.35">
      <c r="A1200" s="606"/>
      <c r="B1200" s="607"/>
      <c r="C1200" s="191"/>
      <c r="D1200" s="183" t="s">
        <v>6</v>
      </c>
      <c r="E1200" s="191"/>
      <c r="F1200" s="184"/>
      <c r="G1200" s="184"/>
      <c r="H1200" s="187"/>
      <c r="I1200" s="187">
        <f>(H1195+H1196+H1197+H1198+H1199)/5</f>
        <v>100</v>
      </c>
      <c r="J1200" s="182"/>
      <c r="K1200" s="183" t="s">
        <v>6</v>
      </c>
      <c r="L1200" s="184"/>
      <c r="M1200" s="188"/>
      <c r="N1200" s="188"/>
      <c r="O1200" s="187"/>
      <c r="P1200" s="187">
        <f>O1195</f>
        <v>104.10958904109589</v>
      </c>
      <c r="Q1200" s="187">
        <f>(I1200+P1200)/2</f>
        <v>102.05479452054794</v>
      </c>
      <c r="R1200" s="191" t="s">
        <v>31</v>
      </c>
      <c r="S1200" s="579"/>
      <c r="T1200" s="521"/>
      <c r="U1200" s="520"/>
    </row>
    <row r="1201" spans="1:20" s="212" customFormat="1" ht="67.5" customHeight="1" x14ac:dyDescent="0.35">
      <c r="A1201" s="576"/>
      <c r="B1201" s="600"/>
      <c r="C1201" s="502" t="s">
        <v>28</v>
      </c>
      <c r="D1201" s="146" t="s">
        <v>133</v>
      </c>
      <c r="E1201" s="114"/>
      <c r="F1201" s="114"/>
      <c r="G1201" s="114"/>
      <c r="H1201" s="113"/>
      <c r="I1201" s="113"/>
      <c r="J1201" s="502" t="s">
        <v>28</v>
      </c>
      <c r="K1201" s="146" t="str">
        <f>D1201</f>
        <v>Реализация основных общеобразовательных программ среднего общего образования</v>
      </c>
      <c r="L1201" s="114"/>
      <c r="M1201" s="119"/>
      <c r="N1201" s="119"/>
      <c r="O1201" s="113"/>
      <c r="P1201" s="127"/>
      <c r="Q1201" s="113"/>
      <c r="R1201" s="114"/>
      <c r="S1201" s="579"/>
      <c r="T1201" s="211"/>
    </row>
    <row r="1202" spans="1:20" s="212" customFormat="1" ht="67.5" customHeight="1" x14ac:dyDescent="0.35">
      <c r="A1202" s="576"/>
      <c r="B1202" s="600"/>
      <c r="C1202" s="114" t="s">
        <v>29</v>
      </c>
      <c r="D1202" s="116" t="s">
        <v>134</v>
      </c>
      <c r="E1202" s="114" t="s">
        <v>25</v>
      </c>
      <c r="F1202" s="114">
        <v>100</v>
      </c>
      <c r="G1202" s="114">
        <v>100</v>
      </c>
      <c r="H1202" s="509">
        <f t="shared" ref="H1202:H1206" si="117">IF(G1202/F1202*100&gt;100,100,G1202/F1202*100)</f>
        <v>100</v>
      </c>
      <c r="I1202" s="114"/>
      <c r="J1202" s="118" t="s">
        <v>29</v>
      </c>
      <c r="K1202" s="116" t="s">
        <v>89</v>
      </c>
      <c r="L1202" s="114" t="s">
        <v>38</v>
      </c>
      <c r="M1202" s="114">
        <v>39</v>
      </c>
      <c r="N1202" s="114">
        <v>36</v>
      </c>
      <c r="O1202" s="115">
        <f>IF(N1202/M1202*100&gt;110,110,N1202/M1202*100)</f>
        <v>92.307692307692307</v>
      </c>
      <c r="P1202" s="114"/>
      <c r="Q1202" s="113"/>
      <c r="R1202" s="114"/>
      <c r="S1202" s="579"/>
      <c r="T1202" s="211"/>
    </row>
    <row r="1203" spans="1:20" s="212" customFormat="1" ht="45" customHeight="1" x14ac:dyDescent="0.35">
      <c r="A1203" s="576"/>
      <c r="B1203" s="600"/>
      <c r="C1203" s="114" t="s">
        <v>30</v>
      </c>
      <c r="D1203" s="116" t="s">
        <v>560</v>
      </c>
      <c r="E1203" s="114" t="s">
        <v>25</v>
      </c>
      <c r="F1203" s="114">
        <v>100</v>
      </c>
      <c r="G1203" s="114">
        <v>100</v>
      </c>
      <c r="H1203" s="509">
        <f t="shared" si="117"/>
        <v>100</v>
      </c>
      <c r="I1203" s="114"/>
      <c r="J1203" s="118"/>
      <c r="K1203" s="116"/>
      <c r="L1203" s="114"/>
      <c r="M1203" s="119"/>
      <c r="N1203" s="119"/>
      <c r="O1203" s="115"/>
      <c r="P1203" s="127"/>
      <c r="Q1203" s="113"/>
      <c r="R1203" s="114"/>
      <c r="S1203" s="579"/>
      <c r="T1203" s="211"/>
    </row>
    <row r="1204" spans="1:20" s="212" customFormat="1" ht="45.75" customHeight="1" x14ac:dyDescent="0.35">
      <c r="A1204" s="576"/>
      <c r="B1204" s="600"/>
      <c r="C1204" s="114" t="s">
        <v>52</v>
      </c>
      <c r="D1204" s="116" t="s">
        <v>468</v>
      </c>
      <c r="E1204" s="114" t="s">
        <v>25</v>
      </c>
      <c r="F1204" s="114">
        <v>100</v>
      </c>
      <c r="G1204" s="114">
        <v>100</v>
      </c>
      <c r="H1204" s="509">
        <f t="shared" si="117"/>
        <v>100</v>
      </c>
      <c r="I1204" s="114"/>
      <c r="J1204" s="118"/>
      <c r="K1204" s="116"/>
      <c r="L1204" s="114"/>
      <c r="M1204" s="119"/>
      <c r="N1204" s="119"/>
      <c r="O1204" s="115"/>
      <c r="P1204" s="127"/>
      <c r="Q1204" s="113"/>
      <c r="R1204" s="114"/>
      <c r="S1204" s="579"/>
      <c r="T1204" s="211"/>
    </row>
    <row r="1205" spans="1:20" s="212" customFormat="1" ht="71.25" customHeight="1" x14ac:dyDescent="0.35">
      <c r="A1205" s="576"/>
      <c r="B1205" s="600"/>
      <c r="C1205" s="114" t="s">
        <v>53</v>
      </c>
      <c r="D1205" s="116" t="s">
        <v>88</v>
      </c>
      <c r="E1205" s="114" t="s">
        <v>25</v>
      </c>
      <c r="F1205" s="114">
        <v>90</v>
      </c>
      <c r="G1205" s="114">
        <v>100</v>
      </c>
      <c r="H1205" s="509">
        <f t="shared" si="117"/>
        <v>100</v>
      </c>
      <c r="I1205" s="114"/>
      <c r="J1205" s="118"/>
      <c r="K1205" s="116"/>
      <c r="L1205" s="114"/>
      <c r="M1205" s="119"/>
      <c r="N1205" s="119"/>
      <c r="O1205" s="115"/>
      <c r="P1205" s="127"/>
      <c r="Q1205" s="113"/>
      <c r="R1205" s="114"/>
      <c r="S1205" s="579"/>
      <c r="T1205" s="211"/>
    </row>
    <row r="1206" spans="1:20" s="212" customFormat="1" ht="123.75" customHeight="1" x14ac:dyDescent="0.35">
      <c r="A1206" s="576"/>
      <c r="B1206" s="600"/>
      <c r="C1206" s="114" t="s">
        <v>135</v>
      </c>
      <c r="D1206" s="116" t="s">
        <v>130</v>
      </c>
      <c r="E1206" s="114" t="s">
        <v>25</v>
      </c>
      <c r="F1206" s="114">
        <v>100</v>
      </c>
      <c r="G1206" s="114">
        <v>100</v>
      </c>
      <c r="H1206" s="509">
        <f t="shared" si="117"/>
        <v>100</v>
      </c>
      <c r="I1206" s="114"/>
      <c r="J1206" s="118"/>
      <c r="K1206" s="116"/>
      <c r="L1206" s="114"/>
      <c r="M1206" s="119"/>
      <c r="N1206" s="119"/>
      <c r="O1206" s="115"/>
      <c r="P1206" s="127"/>
      <c r="Q1206" s="113"/>
      <c r="R1206" s="114"/>
      <c r="S1206" s="579"/>
      <c r="T1206" s="211"/>
    </row>
    <row r="1207" spans="1:20" s="124" customFormat="1" ht="40.5" customHeight="1" x14ac:dyDescent="0.35">
      <c r="A1207" s="576"/>
      <c r="B1207" s="600"/>
      <c r="C1207" s="191"/>
      <c r="D1207" s="183" t="s">
        <v>6</v>
      </c>
      <c r="E1207" s="191"/>
      <c r="F1207" s="184"/>
      <c r="G1207" s="184"/>
      <c r="H1207" s="187"/>
      <c r="I1207" s="187">
        <f>(H1202+H1203+H1204+H1205+H1206)/5</f>
        <v>100</v>
      </c>
      <c r="J1207" s="182"/>
      <c r="K1207" s="183" t="s">
        <v>6</v>
      </c>
      <c r="L1207" s="184"/>
      <c r="M1207" s="188"/>
      <c r="N1207" s="188"/>
      <c r="O1207" s="187"/>
      <c r="P1207" s="187">
        <f>O1202</f>
        <v>92.307692307692307</v>
      </c>
      <c r="Q1207" s="187">
        <f>(I1207+P1207)/2</f>
        <v>96.15384615384616</v>
      </c>
      <c r="R1207" s="191" t="s">
        <v>361</v>
      </c>
      <c r="S1207" s="579"/>
      <c r="T1207" s="123"/>
    </row>
    <row r="1208" spans="1:20" s="212" customFormat="1" ht="45" customHeight="1" x14ac:dyDescent="0.35">
      <c r="A1208" s="576"/>
      <c r="B1208" s="600"/>
      <c r="C1208" s="502" t="s">
        <v>42</v>
      </c>
      <c r="D1208" s="146" t="s">
        <v>90</v>
      </c>
      <c r="E1208" s="114"/>
      <c r="F1208" s="114"/>
      <c r="G1208" s="114"/>
      <c r="H1208" s="113"/>
      <c r="I1208" s="113"/>
      <c r="J1208" s="502" t="s">
        <v>42</v>
      </c>
      <c r="K1208" s="146" t="s">
        <v>90</v>
      </c>
      <c r="L1208" s="114"/>
      <c r="M1208" s="119"/>
      <c r="N1208" s="119"/>
      <c r="O1208" s="113"/>
      <c r="P1208" s="127"/>
      <c r="Q1208" s="113"/>
      <c r="R1208" s="114"/>
      <c r="S1208" s="579"/>
      <c r="T1208" s="211"/>
    </row>
    <row r="1209" spans="1:20" s="212" customFormat="1" ht="60.75" customHeight="1" x14ac:dyDescent="0.35">
      <c r="A1209" s="576"/>
      <c r="B1209" s="600"/>
      <c r="C1209" s="114" t="s">
        <v>43</v>
      </c>
      <c r="D1209" s="116" t="s">
        <v>136</v>
      </c>
      <c r="E1209" s="114" t="s">
        <v>25</v>
      </c>
      <c r="F1209" s="114">
        <v>100</v>
      </c>
      <c r="G1209" s="114">
        <v>100</v>
      </c>
      <c r="H1209" s="509">
        <f t="shared" ref="H1209:H1210" si="118">IF(G1209/F1209*100&gt;100,100,G1209/F1209*100)</f>
        <v>100</v>
      </c>
      <c r="I1209" s="114"/>
      <c r="J1209" s="118" t="s">
        <v>43</v>
      </c>
      <c r="K1209" s="116" t="s">
        <v>89</v>
      </c>
      <c r="L1209" s="114" t="s">
        <v>38</v>
      </c>
      <c r="M1209" s="114">
        <v>55</v>
      </c>
      <c r="N1209" s="114">
        <v>55</v>
      </c>
      <c r="O1209" s="115">
        <f>IF(N1209/M1209*100&gt;110,110,N1209/M1209*100)</f>
        <v>100</v>
      </c>
      <c r="P1209" s="127"/>
      <c r="Q1209" s="113"/>
      <c r="R1209" s="114"/>
      <c r="S1209" s="579"/>
      <c r="T1209" s="211"/>
    </row>
    <row r="1210" spans="1:20" s="212" customFormat="1" ht="84" customHeight="1" x14ac:dyDescent="0.35">
      <c r="A1210" s="576"/>
      <c r="B1210" s="600"/>
      <c r="C1210" s="114" t="s">
        <v>137</v>
      </c>
      <c r="D1210" s="116" t="s">
        <v>138</v>
      </c>
      <c r="E1210" s="114" t="s">
        <v>25</v>
      </c>
      <c r="F1210" s="114">
        <v>90</v>
      </c>
      <c r="G1210" s="114">
        <v>90</v>
      </c>
      <c r="H1210" s="509">
        <f t="shared" si="118"/>
        <v>100</v>
      </c>
      <c r="I1210" s="114"/>
      <c r="J1210" s="118"/>
      <c r="K1210" s="116"/>
      <c r="L1210" s="114"/>
      <c r="M1210" s="119"/>
      <c r="N1210" s="119"/>
      <c r="O1210" s="115"/>
      <c r="P1210" s="127"/>
      <c r="Q1210" s="113"/>
      <c r="R1210" s="114"/>
      <c r="S1210" s="579"/>
      <c r="T1210" s="211"/>
    </row>
    <row r="1211" spans="1:20" s="124" customFormat="1" ht="40.5" customHeight="1" x14ac:dyDescent="0.35">
      <c r="A1211" s="576"/>
      <c r="B1211" s="600"/>
      <c r="C1211" s="191"/>
      <c r="D1211" s="183" t="s">
        <v>6</v>
      </c>
      <c r="E1211" s="191"/>
      <c r="F1211" s="184"/>
      <c r="G1211" s="184"/>
      <c r="H1211" s="187"/>
      <c r="I1211" s="187">
        <f>(H1209+H1210)/2</f>
        <v>100</v>
      </c>
      <c r="J1211" s="182"/>
      <c r="K1211" s="183" t="s">
        <v>6</v>
      </c>
      <c r="L1211" s="184"/>
      <c r="M1211" s="188"/>
      <c r="N1211" s="188"/>
      <c r="O1211" s="187"/>
      <c r="P1211" s="187">
        <f>O1209</f>
        <v>100</v>
      </c>
      <c r="Q1211" s="187">
        <f>(I1211+P1211)/2</f>
        <v>100</v>
      </c>
      <c r="R1211" s="191" t="s">
        <v>31</v>
      </c>
      <c r="S1211" s="579"/>
      <c r="T1211" s="123"/>
    </row>
    <row r="1212" spans="1:20" s="212" customFormat="1" ht="56.25" customHeight="1" x14ac:dyDescent="0.35">
      <c r="A1212" s="576"/>
      <c r="B1212" s="600"/>
      <c r="C1212" s="502" t="s">
        <v>164</v>
      </c>
      <c r="D1212" s="146" t="s">
        <v>211</v>
      </c>
      <c r="E1212" s="114"/>
      <c r="F1212" s="114"/>
      <c r="G1212" s="114"/>
      <c r="H1212" s="113"/>
      <c r="I1212" s="113"/>
      <c r="J1212" s="502" t="s">
        <v>164</v>
      </c>
      <c r="K1212" s="146" t="str">
        <f>D1212</f>
        <v>Реализация дополнительных общеразвивающих программ</v>
      </c>
      <c r="L1212" s="114"/>
      <c r="M1212" s="119"/>
      <c r="N1212" s="119"/>
      <c r="O1212" s="113"/>
      <c r="P1212" s="127"/>
      <c r="Q1212" s="113"/>
      <c r="R1212" s="114"/>
      <c r="S1212" s="579"/>
      <c r="T1212" s="211"/>
    </row>
    <row r="1213" spans="1:20" s="212" customFormat="1" ht="90.75" customHeight="1" x14ac:dyDescent="0.35">
      <c r="A1213" s="576"/>
      <c r="B1213" s="600"/>
      <c r="C1213" s="114" t="s">
        <v>165</v>
      </c>
      <c r="D1213" s="116" t="s">
        <v>138</v>
      </c>
      <c r="E1213" s="114" t="s">
        <v>25</v>
      </c>
      <c r="F1213" s="114">
        <v>90</v>
      </c>
      <c r="G1213" s="114">
        <v>90</v>
      </c>
      <c r="H1213" s="509">
        <f>IF(G1213/F1213*100&gt;100,100,G1213/F1213*100)</f>
        <v>100</v>
      </c>
      <c r="I1213" s="114"/>
      <c r="J1213" s="118" t="str">
        <f>C1213</f>
        <v>5.1.</v>
      </c>
      <c r="K1213" s="116" t="s">
        <v>469</v>
      </c>
      <c r="L1213" s="114" t="s">
        <v>339</v>
      </c>
      <c r="M1213" s="114">
        <v>22032</v>
      </c>
      <c r="N1213" s="114">
        <v>22675</v>
      </c>
      <c r="O1213" s="115">
        <f>IF(N1213/M1213*100&gt;110,110,N1213/M1213*100)</f>
        <v>102.91848220769791</v>
      </c>
      <c r="P1213" s="127"/>
      <c r="Q1213" s="113"/>
      <c r="R1213" s="114"/>
      <c r="S1213" s="579"/>
      <c r="T1213" s="211"/>
    </row>
    <row r="1214" spans="1:20" s="124" customFormat="1" ht="39" customHeight="1" x14ac:dyDescent="0.35">
      <c r="A1214" s="576"/>
      <c r="B1214" s="600"/>
      <c r="C1214" s="191"/>
      <c r="D1214" s="183" t="s">
        <v>6</v>
      </c>
      <c r="E1214" s="191"/>
      <c r="F1214" s="184"/>
      <c r="G1214" s="184"/>
      <c r="H1214" s="187"/>
      <c r="I1214" s="187">
        <f>H1213</f>
        <v>100</v>
      </c>
      <c r="J1214" s="182"/>
      <c r="K1214" s="183" t="s">
        <v>6</v>
      </c>
      <c r="L1214" s="184"/>
      <c r="M1214" s="188"/>
      <c r="N1214" s="188"/>
      <c r="O1214" s="187"/>
      <c r="P1214" s="187">
        <f>O1213</f>
        <v>102.91848220769791</v>
      </c>
      <c r="Q1214" s="187">
        <f>(I1214+P1214)/2</f>
        <v>101.45924110384895</v>
      </c>
      <c r="R1214" s="191" t="s">
        <v>31</v>
      </c>
      <c r="S1214" s="579"/>
      <c r="T1214" s="123"/>
    </row>
    <row r="1215" spans="1:20" s="212" customFormat="1" ht="69.75" customHeight="1" x14ac:dyDescent="0.35">
      <c r="A1215" s="576">
        <v>67</v>
      </c>
      <c r="B1215" s="600" t="s">
        <v>179</v>
      </c>
      <c r="C1215" s="502" t="s">
        <v>12</v>
      </c>
      <c r="D1215" s="146" t="s">
        <v>128</v>
      </c>
      <c r="E1215" s="502"/>
      <c r="F1215" s="502"/>
      <c r="G1215" s="502"/>
      <c r="H1215" s="113"/>
      <c r="I1215" s="113"/>
      <c r="J1215" s="502" t="s">
        <v>12</v>
      </c>
      <c r="K1215" s="146" t="s">
        <v>128</v>
      </c>
      <c r="L1215" s="114"/>
      <c r="M1215" s="114"/>
      <c r="N1215" s="114"/>
      <c r="O1215" s="113"/>
      <c r="P1215" s="127"/>
      <c r="Q1215" s="113"/>
      <c r="R1215" s="114"/>
      <c r="S1215" s="579" t="s">
        <v>280</v>
      </c>
      <c r="T1215" s="211"/>
    </row>
    <row r="1216" spans="1:20" s="212" customFormat="1" ht="69.75" customHeight="1" x14ac:dyDescent="0.35">
      <c r="A1216" s="576"/>
      <c r="B1216" s="600"/>
      <c r="C1216" s="114" t="s">
        <v>7</v>
      </c>
      <c r="D1216" s="116" t="s">
        <v>129</v>
      </c>
      <c r="E1216" s="114" t="s">
        <v>25</v>
      </c>
      <c r="F1216" s="114">
        <v>100</v>
      </c>
      <c r="G1216" s="114">
        <v>100</v>
      </c>
      <c r="H1216" s="509">
        <f t="shared" ref="H1216:H1220" si="119">IF(G1216/F1216*100&gt;100,100,G1216/F1216*100)</f>
        <v>100</v>
      </c>
      <c r="I1216" s="114"/>
      <c r="J1216" s="114" t="s">
        <v>7</v>
      </c>
      <c r="K1216" s="116" t="s">
        <v>89</v>
      </c>
      <c r="L1216" s="114" t="s">
        <v>38</v>
      </c>
      <c r="M1216" s="114">
        <v>206</v>
      </c>
      <c r="N1216" s="114">
        <v>211</v>
      </c>
      <c r="O1216" s="115">
        <f>IF(N1216/M1216*100&gt;110,110,N1216/M1216*100)</f>
        <v>102.42718446601941</v>
      </c>
      <c r="P1216" s="127"/>
      <c r="Q1216" s="113"/>
      <c r="R1216" s="114"/>
      <c r="S1216" s="579"/>
      <c r="T1216" s="211"/>
    </row>
    <row r="1217" spans="1:20" s="212" customFormat="1" x14ac:dyDescent="0.35">
      <c r="A1217" s="576"/>
      <c r="B1217" s="600"/>
      <c r="C1217" s="114" t="s">
        <v>8</v>
      </c>
      <c r="D1217" s="116" t="s">
        <v>561</v>
      </c>
      <c r="E1217" s="114" t="s">
        <v>25</v>
      </c>
      <c r="F1217" s="114">
        <v>100</v>
      </c>
      <c r="G1217" s="114">
        <v>100</v>
      </c>
      <c r="H1217" s="509">
        <f t="shared" si="119"/>
        <v>100</v>
      </c>
      <c r="I1217" s="114"/>
      <c r="J1217" s="114"/>
      <c r="K1217" s="503"/>
      <c r="L1217" s="114"/>
      <c r="M1217" s="117"/>
      <c r="N1217" s="117"/>
      <c r="O1217" s="115"/>
      <c r="P1217" s="127"/>
      <c r="Q1217" s="113"/>
      <c r="R1217" s="114"/>
      <c r="S1217" s="579"/>
      <c r="T1217" s="211"/>
    </row>
    <row r="1218" spans="1:20" s="212" customFormat="1" ht="43.5" customHeight="1" x14ac:dyDescent="0.35">
      <c r="A1218" s="576"/>
      <c r="B1218" s="600"/>
      <c r="C1218" s="114" t="s">
        <v>9</v>
      </c>
      <c r="D1218" s="116" t="s">
        <v>468</v>
      </c>
      <c r="E1218" s="114" t="s">
        <v>25</v>
      </c>
      <c r="F1218" s="114">
        <v>100</v>
      </c>
      <c r="G1218" s="114">
        <v>100</v>
      </c>
      <c r="H1218" s="509">
        <f t="shared" si="119"/>
        <v>100</v>
      </c>
      <c r="I1218" s="114"/>
      <c r="J1218" s="118"/>
      <c r="K1218" s="116"/>
      <c r="L1218" s="114"/>
      <c r="M1218" s="119"/>
      <c r="N1218" s="119"/>
      <c r="O1218" s="115"/>
      <c r="P1218" s="127"/>
      <c r="Q1218" s="113"/>
      <c r="R1218" s="114"/>
      <c r="S1218" s="579"/>
      <c r="T1218" s="211"/>
    </row>
    <row r="1219" spans="1:20" s="212" customFormat="1" ht="67.5" customHeight="1" x14ac:dyDescent="0.35">
      <c r="A1219" s="576"/>
      <c r="B1219" s="600"/>
      <c r="C1219" s="114" t="s">
        <v>10</v>
      </c>
      <c r="D1219" s="116" t="s">
        <v>88</v>
      </c>
      <c r="E1219" s="114" t="s">
        <v>25</v>
      </c>
      <c r="F1219" s="114">
        <v>90</v>
      </c>
      <c r="G1219" s="114">
        <v>100</v>
      </c>
      <c r="H1219" s="509">
        <f t="shared" si="119"/>
        <v>100</v>
      </c>
      <c r="I1219" s="114"/>
      <c r="J1219" s="118"/>
      <c r="K1219" s="116"/>
      <c r="L1219" s="114"/>
      <c r="M1219" s="119"/>
      <c r="N1219" s="119"/>
      <c r="O1219" s="115"/>
      <c r="P1219" s="127"/>
      <c r="Q1219" s="113"/>
      <c r="R1219" s="114"/>
      <c r="S1219" s="579"/>
      <c r="T1219" s="211"/>
    </row>
    <row r="1220" spans="1:20" s="212" customFormat="1" ht="115.5" customHeight="1" x14ac:dyDescent="0.35">
      <c r="A1220" s="576"/>
      <c r="B1220" s="600"/>
      <c r="C1220" s="114" t="s">
        <v>35</v>
      </c>
      <c r="D1220" s="116" t="s">
        <v>130</v>
      </c>
      <c r="E1220" s="114" t="s">
        <v>25</v>
      </c>
      <c r="F1220" s="114">
        <v>100</v>
      </c>
      <c r="G1220" s="114">
        <v>100</v>
      </c>
      <c r="H1220" s="509">
        <f t="shared" si="119"/>
        <v>100</v>
      </c>
      <c r="I1220" s="114"/>
      <c r="J1220" s="118"/>
      <c r="K1220" s="116"/>
      <c r="L1220" s="114"/>
      <c r="M1220" s="119"/>
      <c r="N1220" s="119"/>
      <c r="O1220" s="115"/>
      <c r="P1220" s="127"/>
      <c r="Q1220" s="113"/>
      <c r="R1220" s="114"/>
      <c r="S1220" s="579"/>
      <c r="T1220" s="211"/>
    </row>
    <row r="1221" spans="1:20" s="124" customFormat="1" ht="40.5" customHeight="1" x14ac:dyDescent="0.35">
      <c r="A1221" s="576"/>
      <c r="B1221" s="600"/>
      <c r="C1221" s="191"/>
      <c r="D1221" s="183" t="s">
        <v>6</v>
      </c>
      <c r="E1221" s="191"/>
      <c r="F1221" s="184"/>
      <c r="G1221" s="184"/>
      <c r="H1221" s="187"/>
      <c r="I1221" s="187">
        <f>(H1216+H1217+H1218+H1219+H1220)/5</f>
        <v>100</v>
      </c>
      <c r="J1221" s="182"/>
      <c r="K1221" s="183" t="s">
        <v>6</v>
      </c>
      <c r="L1221" s="184"/>
      <c r="M1221" s="188"/>
      <c r="N1221" s="188"/>
      <c r="O1221" s="187"/>
      <c r="P1221" s="187">
        <f>O1216</f>
        <v>102.42718446601941</v>
      </c>
      <c r="Q1221" s="187">
        <f>(I1221+P1221)/2</f>
        <v>101.21359223300971</v>
      </c>
      <c r="R1221" s="191" t="s">
        <v>31</v>
      </c>
      <c r="S1221" s="579"/>
      <c r="T1221" s="123"/>
    </row>
    <row r="1222" spans="1:20" s="212" customFormat="1" ht="62.25" customHeight="1" x14ac:dyDescent="0.35">
      <c r="A1222" s="576"/>
      <c r="B1222" s="600"/>
      <c r="C1222" s="502" t="s">
        <v>13</v>
      </c>
      <c r="D1222" s="146" t="s">
        <v>131</v>
      </c>
      <c r="E1222" s="114"/>
      <c r="F1222" s="114"/>
      <c r="G1222" s="114"/>
      <c r="H1222" s="113"/>
      <c r="I1222" s="113"/>
      <c r="J1222" s="502" t="s">
        <v>13</v>
      </c>
      <c r="K1222" s="146" t="s">
        <v>131</v>
      </c>
      <c r="L1222" s="114"/>
      <c r="M1222" s="119"/>
      <c r="N1222" s="119"/>
      <c r="O1222" s="113"/>
      <c r="P1222" s="127"/>
      <c r="Q1222" s="113"/>
      <c r="R1222" s="114"/>
      <c r="S1222" s="579"/>
      <c r="T1222" s="211"/>
    </row>
    <row r="1223" spans="1:20" s="212" customFormat="1" ht="77.25" customHeight="1" x14ac:dyDescent="0.35">
      <c r="A1223" s="576"/>
      <c r="B1223" s="600"/>
      <c r="C1223" s="114" t="s">
        <v>14</v>
      </c>
      <c r="D1223" s="116" t="s">
        <v>132</v>
      </c>
      <c r="E1223" s="114" t="s">
        <v>25</v>
      </c>
      <c r="F1223" s="114">
        <v>100</v>
      </c>
      <c r="G1223" s="114">
        <v>100</v>
      </c>
      <c r="H1223" s="509">
        <f t="shared" ref="H1223:H1227" si="120">IF(G1223/F1223*100&gt;100,100,G1223/F1223*100)</f>
        <v>100</v>
      </c>
      <c r="I1223" s="114"/>
      <c r="J1223" s="118" t="s">
        <v>14</v>
      </c>
      <c r="K1223" s="116" t="s">
        <v>89</v>
      </c>
      <c r="L1223" s="114" t="s">
        <v>38</v>
      </c>
      <c r="M1223" s="114">
        <v>276</v>
      </c>
      <c r="N1223" s="114">
        <v>271</v>
      </c>
      <c r="O1223" s="115">
        <f>IF(N1223/M1223*100&gt;110,110,N1223/M1223*100)</f>
        <v>98.188405797101453</v>
      </c>
      <c r="P1223" s="114"/>
      <c r="Q1223" s="113"/>
      <c r="R1223" s="114"/>
      <c r="S1223" s="579"/>
      <c r="T1223" s="211"/>
    </row>
    <row r="1224" spans="1:20" s="212" customFormat="1" x14ac:dyDescent="0.35">
      <c r="A1224" s="576"/>
      <c r="B1224" s="600"/>
      <c r="C1224" s="114" t="s">
        <v>15</v>
      </c>
      <c r="D1224" s="116" t="s">
        <v>559</v>
      </c>
      <c r="E1224" s="114" t="s">
        <v>25</v>
      </c>
      <c r="F1224" s="114">
        <v>100</v>
      </c>
      <c r="G1224" s="114">
        <v>100</v>
      </c>
      <c r="H1224" s="509">
        <f t="shared" si="120"/>
        <v>100</v>
      </c>
      <c r="I1224" s="114"/>
      <c r="J1224" s="118"/>
      <c r="K1224" s="116"/>
      <c r="L1224" s="114"/>
      <c r="M1224" s="119"/>
      <c r="N1224" s="119"/>
      <c r="O1224" s="115"/>
      <c r="P1224" s="127"/>
      <c r="Q1224" s="113"/>
      <c r="R1224" s="114"/>
      <c r="S1224" s="579"/>
      <c r="T1224" s="211"/>
    </row>
    <row r="1225" spans="1:20" s="212" customFormat="1" ht="47.25" customHeight="1" x14ac:dyDescent="0.35">
      <c r="A1225" s="576"/>
      <c r="B1225" s="600"/>
      <c r="C1225" s="114" t="s">
        <v>39</v>
      </c>
      <c r="D1225" s="116" t="s">
        <v>468</v>
      </c>
      <c r="E1225" s="114" t="s">
        <v>25</v>
      </c>
      <c r="F1225" s="114">
        <v>100</v>
      </c>
      <c r="G1225" s="114">
        <v>100</v>
      </c>
      <c r="H1225" s="509">
        <f t="shared" si="120"/>
        <v>100</v>
      </c>
      <c r="I1225" s="114"/>
      <c r="J1225" s="118"/>
      <c r="K1225" s="116"/>
      <c r="L1225" s="114"/>
      <c r="M1225" s="119"/>
      <c r="N1225" s="119"/>
      <c r="O1225" s="115"/>
      <c r="P1225" s="127"/>
      <c r="Q1225" s="113"/>
      <c r="R1225" s="114"/>
      <c r="S1225" s="579"/>
      <c r="T1225" s="211"/>
    </row>
    <row r="1226" spans="1:20" s="212" customFormat="1" ht="74.25" customHeight="1" x14ac:dyDescent="0.35">
      <c r="A1226" s="576"/>
      <c r="B1226" s="600"/>
      <c r="C1226" s="114" t="s">
        <v>45</v>
      </c>
      <c r="D1226" s="116" t="s">
        <v>88</v>
      </c>
      <c r="E1226" s="114" t="s">
        <v>25</v>
      </c>
      <c r="F1226" s="114">
        <v>90</v>
      </c>
      <c r="G1226" s="114">
        <v>100</v>
      </c>
      <c r="H1226" s="509">
        <f t="shared" si="120"/>
        <v>100</v>
      </c>
      <c r="I1226" s="114"/>
      <c r="J1226" s="118"/>
      <c r="K1226" s="116"/>
      <c r="L1226" s="114"/>
      <c r="M1226" s="119"/>
      <c r="N1226" s="119"/>
      <c r="O1226" s="115"/>
      <c r="P1226" s="127"/>
      <c r="Q1226" s="113"/>
      <c r="R1226" s="114"/>
      <c r="S1226" s="579"/>
      <c r="T1226" s="211"/>
    </row>
    <row r="1227" spans="1:20" s="212" customFormat="1" ht="129" customHeight="1" x14ac:dyDescent="0.35">
      <c r="A1227" s="576"/>
      <c r="B1227" s="600"/>
      <c r="C1227" s="114" t="s">
        <v>66</v>
      </c>
      <c r="D1227" s="116" t="s">
        <v>130</v>
      </c>
      <c r="E1227" s="114" t="s">
        <v>25</v>
      </c>
      <c r="F1227" s="114">
        <v>100</v>
      </c>
      <c r="G1227" s="114">
        <v>100</v>
      </c>
      <c r="H1227" s="509">
        <f t="shared" si="120"/>
        <v>100</v>
      </c>
      <c r="I1227" s="114"/>
      <c r="J1227" s="118"/>
      <c r="K1227" s="116"/>
      <c r="L1227" s="114"/>
      <c r="M1227" s="119"/>
      <c r="N1227" s="119"/>
      <c r="O1227" s="115"/>
      <c r="P1227" s="127"/>
      <c r="Q1227" s="113"/>
      <c r="R1227" s="114"/>
      <c r="S1227" s="579"/>
      <c r="T1227" s="211"/>
    </row>
    <row r="1228" spans="1:20" s="124" customFormat="1" ht="40.5" customHeight="1" x14ac:dyDescent="0.35">
      <c r="A1228" s="576"/>
      <c r="B1228" s="600"/>
      <c r="C1228" s="191"/>
      <c r="D1228" s="183" t="s">
        <v>6</v>
      </c>
      <c r="E1228" s="191"/>
      <c r="F1228" s="184"/>
      <c r="G1228" s="184"/>
      <c r="H1228" s="187"/>
      <c r="I1228" s="187">
        <f>(H1223+H1224+H1225+H1226+H1227)/5</f>
        <v>100</v>
      </c>
      <c r="J1228" s="182"/>
      <c r="K1228" s="183" t="s">
        <v>6</v>
      </c>
      <c r="L1228" s="184"/>
      <c r="M1228" s="188"/>
      <c r="N1228" s="188"/>
      <c r="O1228" s="187"/>
      <c r="P1228" s="187">
        <f>O1223</f>
        <v>98.188405797101453</v>
      </c>
      <c r="Q1228" s="187">
        <f>(I1228+P1228)/2</f>
        <v>99.094202898550719</v>
      </c>
      <c r="R1228" s="191" t="s">
        <v>361</v>
      </c>
      <c r="S1228" s="579"/>
      <c r="T1228" s="123"/>
    </row>
    <row r="1229" spans="1:20" s="212" customFormat="1" ht="59.25" customHeight="1" x14ac:dyDescent="0.35">
      <c r="A1229" s="576"/>
      <c r="B1229" s="600"/>
      <c r="C1229" s="502" t="s">
        <v>28</v>
      </c>
      <c r="D1229" s="146" t="s">
        <v>133</v>
      </c>
      <c r="E1229" s="114"/>
      <c r="F1229" s="114"/>
      <c r="G1229" s="114"/>
      <c r="H1229" s="113"/>
      <c r="I1229" s="113"/>
      <c r="J1229" s="502" t="s">
        <v>28</v>
      </c>
      <c r="K1229" s="146" t="str">
        <f>D1229</f>
        <v>Реализация основных общеобразовательных программ среднего общего образования</v>
      </c>
      <c r="L1229" s="114"/>
      <c r="M1229" s="119"/>
      <c r="N1229" s="119"/>
      <c r="O1229" s="113"/>
      <c r="P1229" s="127"/>
      <c r="Q1229" s="113"/>
      <c r="R1229" s="114"/>
      <c r="S1229" s="579"/>
      <c r="T1229" s="211"/>
    </row>
    <row r="1230" spans="1:20" s="212" customFormat="1" ht="71.25" customHeight="1" x14ac:dyDescent="0.35">
      <c r="A1230" s="576"/>
      <c r="B1230" s="600"/>
      <c r="C1230" s="114" t="s">
        <v>29</v>
      </c>
      <c r="D1230" s="116" t="s">
        <v>134</v>
      </c>
      <c r="E1230" s="114" t="s">
        <v>25</v>
      </c>
      <c r="F1230" s="114">
        <v>100</v>
      </c>
      <c r="G1230" s="114">
        <v>100</v>
      </c>
      <c r="H1230" s="509">
        <f t="shared" ref="H1230:H1234" si="121">IF(G1230/F1230*100&gt;100,100,G1230/F1230*100)</f>
        <v>100</v>
      </c>
      <c r="I1230" s="114"/>
      <c r="J1230" s="118" t="s">
        <v>29</v>
      </c>
      <c r="K1230" s="116" t="s">
        <v>89</v>
      </c>
      <c r="L1230" s="114" t="s">
        <v>38</v>
      </c>
      <c r="M1230" s="114">
        <v>41</v>
      </c>
      <c r="N1230" s="114">
        <v>38</v>
      </c>
      <c r="O1230" s="115">
        <f>IF(N1230/M1230*100&gt;110,110,N1230/M1230*100)</f>
        <v>92.682926829268297</v>
      </c>
      <c r="P1230" s="114"/>
      <c r="Q1230" s="113"/>
      <c r="R1230" s="114"/>
      <c r="S1230" s="579"/>
      <c r="T1230" s="211"/>
    </row>
    <row r="1231" spans="1:20" s="212" customFormat="1" x14ac:dyDescent="0.35">
      <c r="A1231" s="576"/>
      <c r="B1231" s="600"/>
      <c r="C1231" s="114" t="s">
        <v>30</v>
      </c>
      <c r="D1231" s="116" t="s">
        <v>560</v>
      </c>
      <c r="E1231" s="114" t="s">
        <v>25</v>
      </c>
      <c r="F1231" s="114">
        <v>100</v>
      </c>
      <c r="G1231" s="114">
        <v>100</v>
      </c>
      <c r="H1231" s="509">
        <f t="shared" si="121"/>
        <v>100</v>
      </c>
      <c r="I1231" s="114"/>
      <c r="J1231" s="118"/>
      <c r="K1231" s="116"/>
      <c r="L1231" s="114"/>
      <c r="M1231" s="119"/>
      <c r="N1231" s="119"/>
      <c r="O1231" s="115"/>
      <c r="P1231" s="127"/>
      <c r="Q1231" s="113"/>
      <c r="R1231" s="114"/>
      <c r="S1231" s="579"/>
      <c r="T1231" s="211"/>
    </row>
    <row r="1232" spans="1:20" s="212" customFormat="1" ht="52.5" customHeight="1" x14ac:dyDescent="0.35">
      <c r="A1232" s="576"/>
      <c r="B1232" s="600"/>
      <c r="C1232" s="114" t="s">
        <v>52</v>
      </c>
      <c r="D1232" s="116" t="s">
        <v>468</v>
      </c>
      <c r="E1232" s="114" t="s">
        <v>25</v>
      </c>
      <c r="F1232" s="114">
        <v>100</v>
      </c>
      <c r="G1232" s="114">
        <v>100</v>
      </c>
      <c r="H1232" s="509">
        <f t="shared" si="121"/>
        <v>100</v>
      </c>
      <c r="I1232" s="114"/>
      <c r="J1232" s="118"/>
      <c r="K1232" s="116"/>
      <c r="L1232" s="114"/>
      <c r="M1232" s="119"/>
      <c r="N1232" s="119"/>
      <c r="O1232" s="115"/>
      <c r="P1232" s="127"/>
      <c r="Q1232" s="113"/>
      <c r="R1232" s="114"/>
      <c r="S1232" s="579"/>
      <c r="T1232" s="211"/>
    </row>
    <row r="1233" spans="1:20" s="212" customFormat="1" ht="73.5" customHeight="1" x14ac:dyDescent="0.35">
      <c r="A1233" s="576"/>
      <c r="B1233" s="600"/>
      <c r="C1233" s="114" t="s">
        <v>53</v>
      </c>
      <c r="D1233" s="116" t="s">
        <v>88</v>
      </c>
      <c r="E1233" s="114" t="s">
        <v>25</v>
      </c>
      <c r="F1233" s="114">
        <v>90</v>
      </c>
      <c r="G1233" s="114">
        <v>100</v>
      </c>
      <c r="H1233" s="509">
        <f t="shared" si="121"/>
        <v>100</v>
      </c>
      <c r="I1233" s="114"/>
      <c r="J1233" s="118"/>
      <c r="K1233" s="116"/>
      <c r="L1233" s="114"/>
      <c r="M1233" s="119"/>
      <c r="N1233" s="119"/>
      <c r="O1233" s="115"/>
      <c r="P1233" s="127"/>
      <c r="Q1233" s="113"/>
      <c r="R1233" s="114"/>
      <c r="S1233" s="579"/>
      <c r="T1233" s="211"/>
    </row>
    <row r="1234" spans="1:20" s="212" customFormat="1" ht="127.5" customHeight="1" x14ac:dyDescent="0.35">
      <c r="A1234" s="576"/>
      <c r="B1234" s="600"/>
      <c r="C1234" s="114" t="s">
        <v>135</v>
      </c>
      <c r="D1234" s="116" t="s">
        <v>130</v>
      </c>
      <c r="E1234" s="114" t="s">
        <v>25</v>
      </c>
      <c r="F1234" s="114">
        <v>100</v>
      </c>
      <c r="G1234" s="114">
        <v>100</v>
      </c>
      <c r="H1234" s="509">
        <f t="shared" si="121"/>
        <v>100</v>
      </c>
      <c r="I1234" s="114"/>
      <c r="J1234" s="118"/>
      <c r="K1234" s="116"/>
      <c r="L1234" s="114"/>
      <c r="M1234" s="119"/>
      <c r="N1234" s="119"/>
      <c r="O1234" s="115"/>
      <c r="P1234" s="127"/>
      <c r="Q1234" s="113"/>
      <c r="R1234" s="114"/>
      <c r="S1234" s="579"/>
      <c r="T1234" s="211"/>
    </row>
    <row r="1235" spans="1:20" s="333" customFormat="1" ht="40.5" customHeight="1" x14ac:dyDescent="0.35">
      <c r="A1235" s="576"/>
      <c r="B1235" s="600"/>
      <c r="C1235" s="191"/>
      <c r="D1235" s="183" t="s">
        <v>6</v>
      </c>
      <c r="E1235" s="191"/>
      <c r="F1235" s="184"/>
      <c r="G1235" s="184"/>
      <c r="H1235" s="187"/>
      <c r="I1235" s="187">
        <f>(H1230+H1231+H1232+H1233+H1234)/5</f>
        <v>100</v>
      </c>
      <c r="J1235" s="182"/>
      <c r="K1235" s="183" t="s">
        <v>6</v>
      </c>
      <c r="L1235" s="184"/>
      <c r="M1235" s="188"/>
      <c r="N1235" s="188"/>
      <c r="O1235" s="187"/>
      <c r="P1235" s="187">
        <f>O1230</f>
        <v>92.682926829268297</v>
      </c>
      <c r="Q1235" s="187">
        <f>(I1235+P1235)/2</f>
        <v>96.341463414634148</v>
      </c>
      <c r="R1235" s="191" t="s">
        <v>361</v>
      </c>
      <c r="S1235" s="579"/>
      <c r="T1235" s="332"/>
    </row>
    <row r="1236" spans="1:20" s="212" customFormat="1" x14ac:dyDescent="0.35">
      <c r="A1236" s="576"/>
      <c r="B1236" s="600"/>
      <c r="C1236" s="502" t="s">
        <v>42</v>
      </c>
      <c r="D1236" s="146" t="s">
        <v>90</v>
      </c>
      <c r="E1236" s="114"/>
      <c r="F1236" s="114"/>
      <c r="G1236" s="114"/>
      <c r="H1236" s="113"/>
      <c r="I1236" s="113"/>
      <c r="J1236" s="502" t="s">
        <v>42</v>
      </c>
      <c r="K1236" s="146" t="s">
        <v>90</v>
      </c>
      <c r="L1236" s="114"/>
      <c r="M1236" s="119"/>
      <c r="N1236" s="119"/>
      <c r="O1236" s="113"/>
      <c r="P1236" s="127"/>
      <c r="Q1236" s="113"/>
      <c r="R1236" s="114"/>
      <c r="S1236" s="579"/>
      <c r="T1236" s="211"/>
    </row>
    <row r="1237" spans="1:20" s="212" customFormat="1" ht="42.75" customHeight="1" x14ac:dyDescent="0.35">
      <c r="A1237" s="576"/>
      <c r="B1237" s="600"/>
      <c r="C1237" s="114" t="s">
        <v>43</v>
      </c>
      <c r="D1237" s="116" t="s">
        <v>136</v>
      </c>
      <c r="E1237" s="114" t="s">
        <v>25</v>
      </c>
      <c r="F1237" s="114">
        <v>100</v>
      </c>
      <c r="G1237" s="114">
        <v>100</v>
      </c>
      <c r="H1237" s="509">
        <f t="shared" ref="H1237:H1238" si="122">IF(G1237/F1237*100&gt;100,100,G1237/F1237*100)</f>
        <v>100</v>
      </c>
      <c r="I1237" s="114"/>
      <c r="J1237" s="118" t="s">
        <v>43</v>
      </c>
      <c r="K1237" s="116" t="s">
        <v>89</v>
      </c>
      <c r="L1237" s="114" t="s">
        <v>38</v>
      </c>
      <c r="M1237" s="114">
        <v>100</v>
      </c>
      <c r="N1237" s="114">
        <v>100</v>
      </c>
      <c r="O1237" s="115">
        <f>IF(N1237/M1237*100&gt;110,110,N1237/M1237*100)</f>
        <v>100</v>
      </c>
      <c r="P1237" s="127"/>
      <c r="Q1237" s="113"/>
      <c r="R1237" s="114"/>
      <c r="S1237" s="579"/>
      <c r="T1237" s="211"/>
    </row>
    <row r="1238" spans="1:20" s="212" customFormat="1" ht="75" customHeight="1" x14ac:dyDescent="0.35">
      <c r="A1238" s="576"/>
      <c r="B1238" s="600"/>
      <c r="C1238" s="114" t="s">
        <v>137</v>
      </c>
      <c r="D1238" s="116" t="s">
        <v>138</v>
      </c>
      <c r="E1238" s="114" t="s">
        <v>25</v>
      </c>
      <c r="F1238" s="114">
        <v>90</v>
      </c>
      <c r="G1238" s="114">
        <v>90</v>
      </c>
      <c r="H1238" s="509">
        <f t="shared" si="122"/>
        <v>100</v>
      </c>
      <c r="I1238" s="114"/>
      <c r="J1238" s="118"/>
      <c r="K1238" s="116"/>
      <c r="L1238" s="114"/>
      <c r="M1238" s="119"/>
      <c r="N1238" s="119"/>
      <c r="O1238" s="115"/>
      <c r="P1238" s="127"/>
      <c r="Q1238" s="113"/>
      <c r="R1238" s="114"/>
      <c r="S1238" s="579"/>
      <c r="T1238" s="211"/>
    </row>
    <row r="1239" spans="1:20" s="212" customFormat="1" ht="40.5" customHeight="1" x14ac:dyDescent="0.35">
      <c r="A1239" s="576"/>
      <c r="B1239" s="600"/>
      <c r="C1239" s="191"/>
      <c r="D1239" s="183" t="s">
        <v>6</v>
      </c>
      <c r="E1239" s="191"/>
      <c r="F1239" s="184"/>
      <c r="G1239" s="184"/>
      <c r="H1239" s="187"/>
      <c r="I1239" s="187">
        <f>(H1237+H1238)/2</f>
        <v>100</v>
      </c>
      <c r="J1239" s="182"/>
      <c r="K1239" s="183" t="s">
        <v>6</v>
      </c>
      <c r="L1239" s="184"/>
      <c r="M1239" s="188"/>
      <c r="N1239" s="188"/>
      <c r="O1239" s="187"/>
      <c r="P1239" s="187">
        <f>O1237</f>
        <v>100</v>
      </c>
      <c r="Q1239" s="187">
        <f>(I1239+P1239)/2</f>
        <v>100</v>
      </c>
      <c r="R1239" s="191" t="s">
        <v>31</v>
      </c>
      <c r="S1239" s="579"/>
      <c r="T1239" s="211"/>
    </row>
    <row r="1240" spans="1:20" s="212" customFormat="1" ht="62.25" customHeight="1" x14ac:dyDescent="0.35">
      <c r="A1240" s="576"/>
      <c r="B1240" s="600"/>
      <c r="C1240" s="502" t="s">
        <v>164</v>
      </c>
      <c r="D1240" s="146" t="s">
        <v>211</v>
      </c>
      <c r="E1240" s="114"/>
      <c r="F1240" s="114"/>
      <c r="G1240" s="114"/>
      <c r="H1240" s="113"/>
      <c r="I1240" s="113"/>
      <c r="J1240" s="502" t="s">
        <v>164</v>
      </c>
      <c r="K1240" s="146" t="str">
        <f>D1240</f>
        <v>Реализация дополнительных общеразвивающих программ</v>
      </c>
      <c r="L1240" s="114"/>
      <c r="M1240" s="119"/>
      <c r="N1240" s="119"/>
      <c r="O1240" s="113"/>
      <c r="P1240" s="127"/>
      <c r="Q1240" s="113"/>
      <c r="R1240" s="114"/>
      <c r="S1240" s="579"/>
      <c r="T1240" s="211"/>
    </row>
    <row r="1241" spans="1:20" s="212" customFormat="1" ht="92.25" customHeight="1" x14ac:dyDescent="0.35">
      <c r="A1241" s="576"/>
      <c r="B1241" s="600"/>
      <c r="C1241" s="114" t="s">
        <v>165</v>
      </c>
      <c r="D1241" s="116" t="s">
        <v>138</v>
      </c>
      <c r="E1241" s="114" t="s">
        <v>25</v>
      </c>
      <c r="F1241" s="114">
        <v>90</v>
      </c>
      <c r="G1241" s="114">
        <v>90</v>
      </c>
      <c r="H1241" s="509">
        <f>IF(G1241/F1241*100&gt;100,100,G1241/F1241*100)</f>
        <v>100</v>
      </c>
      <c r="I1241" s="114"/>
      <c r="J1241" s="118" t="str">
        <f>C1241</f>
        <v>5.1.</v>
      </c>
      <c r="K1241" s="116" t="s">
        <v>469</v>
      </c>
      <c r="L1241" s="114" t="s">
        <v>339</v>
      </c>
      <c r="M1241" s="114">
        <v>40392</v>
      </c>
      <c r="N1241" s="114">
        <v>40411</v>
      </c>
      <c r="O1241" s="115">
        <f>IF(N1241/M1241*100&gt;110,110,N1241/M1241*100)</f>
        <v>100.04703901762726</v>
      </c>
      <c r="P1241" s="127"/>
      <c r="Q1241" s="113"/>
      <c r="R1241" s="114"/>
      <c r="S1241" s="579"/>
      <c r="T1241" s="211"/>
    </row>
    <row r="1242" spans="1:20" s="333" customFormat="1" ht="39" customHeight="1" x14ac:dyDescent="0.35">
      <c r="A1242" s="576"/>
      <c r="B1242" s="600"/>
      <c r="C1242" s="191"/>
      <c r="D1242" s="183" t="s">
        <v>6</v>
      </c>
      <c r="E1242" s="191"/>
      <c r="F1242" s="184"/>
      <c r="G1242" s="184"/>
      <c r="H1242" s="187"/>
      <c r="I1242" s="187">
        <f>H1241</f>
        <v>100</v>
      </c>
      <c r="J1242" s="182"/>
      <c r="K1242" s="183" t="s">
        <v>6</v>
      </c>
      <c r="L1242" s="184"/>
      <c r="M1242" s="188"/>
      <c r="N1242" s="188"/>
      <c r="O1242" s="187"/>
      <c r="P1242" s="187">
        <f>O1241</f>
        <v>100.04703901762726</v>
      </c>
      <c r="Q1242" s="187">
        <f>(I1242+P1242)/2</f>
        <v>100.02351950881362</v>
      </c>
      <c r="R1242" s="191" t="s">
        <v>31</v>
      </c>
      <c r="S1242" s="579"/>
      <c r="T1242" s="332"/>
    </row>
    <row r="1243" spans="1:20" s="212" customFormat="1" ht="59.25" customHeight="1" x14ac:dyDescent="0.35">
      <c r="A1243" s="576">
        <v>68</v>
      </c>
      <c r="B1243" s="600" t="s">
        <v>180</v>
      </c>
      <c r="C1243" s="502" t="s">
        <v>12</v>
      </c>
      <c r="D1243" s="146" t="s">
        <v>128</v>
      </c>
      <c r="E1243" s="502"/>
      <c r="F1243" s="502"/>
      <c r="G1243" s="502"/>
      <c r="H1243" s="113"/>
      <c r="I1243" s="113"/>
      <c r="J1243" s="502" t="s">
        <v>12</v>
      </c>
      <c r="K1243" s="146" t="s">
        <v>128</v>
      </c>
      <c r="L1243" s="114"/>
      <c r="M1243" s="114"/>
      <c r="N1243" s="114"/>
      <c r="O1243" s="113"/>
      <c r="P1243" s="127"/>
      <c r="Q1243" s="113"/>
      <c r="R1243" s="114"/>
      <c r="S1243" s="579" t="s">
        <v>280</v>
      </c>
      <c r="T1243" s="211"/>
    </row>
    <row r="1244" spans="1:20" s="212" customFormat="1" ht="74.25" customHeight="1" x14ac:dyDescent="0.35">
      <c r="A1244" s="576"/>
      <c r="B1244" s="600"/>
      <c r="C1244" s="114" t="s">
        <v>7</v>
      </c>
      <c r="D1244" s="116" t="s">
        <v>129</v>
      </c>
      <c r="E1244" s="114" t="s">
        <v>25</v>
      </c>
      <c r="F1244" s="114">
        <v>100</v>
      </c>
      <c r="G1244" s="114">
        <v>100</v>
      </c>
      <c r="H1244" s="509">
        <f t="shared" ref="H1244:H1248" si="123">IF(G1244/F1244*100&gt;100,100,G1244/F1244*100)</f>
        <v>100</v>
      </c>
      <c r="I1244" s="114"/>
      <c r="J1244" s="114" t="s">
        <v>7</v>
      </c>
      <c r="K1244" s="116" t="s">
        <v>89</v>
      </c>
      <c r="L1244" s="114" t="s">
        <v>38</v>
      </c>
      <c r="M1244" s="114">
        <v>473</v>
      </c>
      <c r="N1244" s="114">
        <v>464</v>
      </c>
      <c r="O1244" s="115">
        <f>IF(N1244/M1244*100&gt;110,110,N1244/M1244*100)</f>
        <v>98.097251585623681</v>
      </c>
      <c r="P1244" s="127"/>
      <c r="Q1244" s="113"/>
      <c r="R1244" s="114"/>
      <c r="S1244" s="579"/>
      <c r="T1244" s="211"/>
    </row>
    <row r="1245" spans="1:20" s="212" customFormat="1" x14ac:dyDescent="0.35">
      <c r="A1245" s="576"/>
      <c r="B1245" s="600"/>
      <c r="C1245" s="114" t="s">
        <v>8</v>
      </c>
      <c r="D1245" s="116" t="s">
        <v>561</v>
      </c>
      <c r="E1245" s="114" t="s">
        <v>25</v>
      </c>
      <c r="F1245" s="114">
        <v>100</v>
      </c>
      <c r="G1245" s="114">
        <v>100</v>
      </c>
      <c r="H1245" s="509">
        <f t="shared" si="123"/>
        <v>100</v>
      </c>
      <c r="I1245" s="114"/>
      <c r="J1245" s="114"/>
      <c r="K1245" s="503"/>
      <c r="L1245" s="114"/>
      <c r="M1245" s="117"/>
      <c r="N1245" s="117"/>
      <c r="O1245" s="115"/>
      <c r="P1245" s="127"/>
      <c r="Q1245" s="113"/>
      <c r="R1245" s="114"/>
      <c r="S1245" s="579"/>
      <c r="T1245" s="211"/>
    </row>
    <row r="1246" spans="1:20" s="212" customFormat="1" ht="57.75" customHeight="1" x14ac:dyDescent="0.35">
      <c r="A1246" s="576"/>
      <c r="B1246" s="600"/>
      <c r="C1246" s="114" t="s">
        <v>9</v>
      </c>
      <c r="D1246" s="116" t="s">
        <v>468</v>
      </c>
      <c r="E1246" s="114" t="s">
        <v>25</v>
      </c>
      <c r="F1246" s="114">
        <v>100</v>
      </c>
      <c r="G1246" s="114">
        <v>100</v>
      </c>
      <c r="H1246" s="509">
        <f t="shared" si="123"/>
        <v>100</v>
      </c>
      <c r="I1246" s="114"/>
      <c r="J1246" s="118"/>
      <c r="K1246" s="116"/>
      <c r="L1246" s="114"/>
      <c r="M1246" s="119"/>
      <c r="N1246" s="119"/>
      <c r="O1246" s="115"/>
      <c r="P1246" s="127"/>
      <c r="Q1246" s="113"/>
      <c r="R1246" s="114"/>
      <c r="S1246" s="579"/>
      <c r="T1246" s="211"/>
    </row>
    <row r="1247" spans="1:20" s="212" customFormat="1" ht="72" customHeight="1" x14ac:dyDescent="0.35">
      <c r="A1247" s="576"/>
      <c r="B1247" s="600"/>
      <c r="C1247" s="114" t="s">
        <v>10</v>
      </c>
      <c r="D1247" s="116" t="s">
        <v>88</v>
      </c>
      <c r="E1247" s="114" t="s">
        <v>25</v>
      </c>
      <c r="F1247" s="114">
        <v>90</v>
      </c>
      <c r="G1247" s="114">
        <v>100</v>
      </c>
      <c r="H1247" s="509">
        <f t="shared" si="123"/>
        <v>100</v>
      </c>
      <c r="I1247" s="114"/>
      <c r="J1247" s="118"/>
      <c r="K1247" s="116"/>
      <c r="L1247" s="114"/>
      <c r="M1247" s="119"/>
      <c r="N1247" s="119"/>
      <c r="O1247" s="115"/>
      <c r="P1247" s="127"/>
      <c r="Q1247" s="113"/>
      <c r="R1247" s="114"/>
      <c r="S1247" s="579"/>
      <c r="T1247" s="211"/>
    </row>
    <row r="1248" spans="1:20" s="212" customFormat="1" ht="121.5" customHeight="1" x14ac:dyDescent="0.35">
      <c r="A1248" s="576"/>
      <c r="B1248" s="600"/>
      <c r="C1248" s="114" t="s">
        <v>35</v>
      </c>
      <c r="D1248" s="116" t="s">
        <v>130</v>
      </c>
      <c r="E1248" s="114" t="s">
        <v>25</v>
      </c>
      <c r="F1248" s="114">
        <v>100</v>
      </c>
      <c r="G1248" s="114">
        <v>100</v>
      </c>
      <c r="H1248" s="509">
        <f t="shared" si="123"/>
        <v>100</v>
      </c>
      <c r="I1248" s="114"/>
      <c r="J1248" s="118"/>
      <c r="K1248" s="116"/>
      <c r="L1248" s="114"/>
      <c r="M1248" s="119"/>
      <c r="N1248" s="119"/>
      <c r="O1248" s="115"/>
      <c r="P1248" s="127"/>
      <c r="Q1248" s="113"/>
      <c r="R1248" s="114"/>
      <c r="S1248" s="579"/>
      <c r="T1248" s="211"/>
    </row>
    <row r="1249" spans="1:20" s="333" customFormat="1" ht="40.5" customHeight="1" x14ac:dyDescent="0.35">
      <c r="A1249" s="576"/>
      <c r="B1249" s="600"/>
      <c r="C1249" s="191"/>
      <c r="D1249" s="183" t="s">
        <v>6</v>
      </c>
      <c r="E1249" s="191"/>
      <c r="F1249" s="184"/>
      <c r="G1249" s="184"/>
      <c r="H1249" s="187"/>
      <c r="I1249" s="187">
        <f>(H1244+H1245+H1246+H1247+H1248)/5</f>
        <v>100</v>
      </c>
      <c r="J1249" s="182"/>
      <c r="K1249" s="183" t="s">
        <v>6</v>
      </c>
      <c r="L1249" s="184"/>
      <c r="M1249" s="188"/>
      <c r="N1249" s="188"/>
      <c r="O1249" s="187"/>
      <c r="P1249" s="187">
        <f>O1244</f>
        <v>98.097251585623681</v>
      </c>
      <c r="Q1249" s="187">
        <f>(I1249+P1249)/2</f>
        <v>99.048625792811833</v>
      </c>
      <c r="R1249" s="191" t="s">
        <v>361</v>
      </c>
      <c r="S1249" s="579"/>
      <c r="T1249" s="332"/>
    </row>
    <row r="1250" spans="1:20" s="212" customFormat="1" ht="60" customHeight="1" x14ac:dyDescent="0.35">
      <c r="A1250" s="576"/>
      <c r="B1250" s="600"/>
      <c r="C1250" s="502" t="s">
        <v>13</v>
      </c>
      <c r="D1250" s="146" t="s">
        <v>131</v>
      </c>
      <c r="E1250" s="114"/>
      <c r="F1250" s="114"/>
      <c r="G1250" s="114"/>
      <c r="H1250" s="113"/>
      <c r="I1250" s="113"/>
      <c r="J1250" s="502" t="s">
        <v>13</v>
      </c>
      <c r="K1250" s="146" t="s">
        <v>131</v>
      </c>
      <c r="L1250" s="114"/>
      <c r="M1250" s="119"/>
      <c r="N1250" s="119"/>
      <c r="O1250" s="113"/>
      <c r="P1250" s="127"/>
      <c r="Q1250" s="113"/>
      <c r="R1250" s="114"/>
      <c r="S1250" s="579"/>
      <c r="T1250" s="211"/>
    </row>
    <row r="1251" spans="1:20" s="212" customFormat="1" ht="72" customHeight="1" x14ac:dyDescent="0.35">
      <c r="A1251" s="576"/>
      <c r="B1251" s="600"/>
      <c r="C1251" s="114" t="s">
        <v>14</v>
      </c>
      <c r="D1251" s="116" t="s">
        <v>132</v>
      </c>
      <c r="E1251" s="114" t="s">
        <v>25</v>
      </c>
      <c r="F1251" s="114">
        <v>100</v>
      </c>
      <c r="G1251" s="114">
        <v>100</v>
      </c>
      <c r="H1251" s="509">
        <f t="shared" ref="H1251:H1255" si="124">IF(G1251/F1251*100&gt;100,100,G1251/F1251*100)</f>
        <v>100</v>
      </c>
      <c r="I1251" s="114"/>
      <c r="J1251" s="118" t="s">
        <v>14</v>
      </c>
      <c r="K1251" s="116" t="s">
        <v>89</v>
      </c>
      <c r="L1251" s="114" t="s">
        <v>38</v>
      </c>
      <c r="M1251" s="114">
        <v>606</v>
      </c>
      <c r="N1251" s="114">
        <v>609</v>
      </c>
      <c r="O1251" s="115">
        <f>IF(N1251/M1251*100&gt;110,110,N1251/M1251*100)</f>
        <v>100.4950495049505</v>
      </c>
      <c r="P1251" s="114"/>
      <c r="Q1251" s="113"/>
      <c r="R1251" s="114"/>
      <c r="S1251" s="579"/>
      <c r="T1251" s="211"/>
    </row>
    <row r="1252" spans="1:20" s="212" customFormat="1" x14ac:dyDescent="0.35">
      <c r="A1252" s="576"/>
      <c r="B1252" s="600"/>
      <c r="C1252" s="114" t="s">
        <v>15</v>
      </c>
      <c r="D1252" s="116" t="s">
        <v>559</v>
      </c>
      <c r="E1252" s="114" t="s">
        <v>25</v>
      </c>
      <c r="F1252" s="114">
        <v>100</v>
      </c>
      <c r="G1252" s="114">
        <v>100</v>
      </c>
      <c r="H1252" s="509">
        <f t="shared" si="124"/>
        <v>100</v>
      </c>
      <c r="I1252" s="114"/>
      <c r="J1252" s="118"/>
      <c r="K1252" s="116"/>
      <c r="L1252" s="114"/>
      <c r="M1252" s="119"/>
      <c r="N1252" s="119"/>
      <c r="O1252" s="115"/>
      <c r="P1252" s="127"/>
      <c r="Q1252" s="113"/>
      <c r="R1252" s="114"/>
      <c r="S1252" s="579"/>
      <c r="T1252" s="211"/>
    </row>
    <row r="1253" spans="1:20" s="212" customFormat="1" ht="55.5" customHeight="1" x14ac:dyDescent="0.35">
      <c r="A1253" s="576"/>
      <c r="B1253" s="600"/>
      <c r="C1253" s="114" t="s">
        <v>39</v>
      </c>
      <c r="D1253" s="116" t="s">
        <v>468</v>
      </c>
      <c r="E1253" s="114" t="s">
        <v>25</v>
      </c>
      <c r="F1253" s="114">
        <v>100</v>
      </c>
      <c r="G1253" s="114">
        <v>100</v>
      </c>
      <c r="H1253" s="509">
        <f t="shared" si="124"/>
        <v>100</v>
      </c>
      <c r="I1253" s="114"/>
      <c r="J1253" s="118"/>
      <c r="K1253" s="116"/>
      <c r="L1253" s="114"/>
      <c r="M1253" s="119"/>
      <c r="N1253" s="119"/>
      <c r="O1253" s="115"/>
      <c r="P1253" s="127"/>
      <c r="Q1253" s="113"/>
      <c r="R1253" s="114"/>
      <c r="S1253" s="579"/>
      <c r="T1253" s="211"/>
    </row>
    <row r="1254" spans="1:20" s="212" customFormat="1" ht="69" customHeight="1" x14ac:dyDescent="0.35">
      <c r="A1254" s="576"/>
      <c r="B1254" s="600"/>
      <c r="C1254" s="114" t="s">
        <v>45</v>
      </c>
      <c r="D1254" s="116" t="s">
        <v>88</v>
      </c>
      <c r="E1254" s="114" t="s">
        <v>25</v>
      </c>
      <c r="F1254" s="114">
        <v>90</v>
      </c>
      <c r="G1254" s="114">
        <v>100</v>
      </c>
      <c r="H1254" s="509">
        <f t="shared" si="124"/>
        <v>100</v>
      </c>
      <c r="I1254" s="114"/>
      <c r="J1254" s="118"/>
      <c r="K1254" s="116"/>
      <c r="L1254" s="114"/>
      <c r="M1254" s="119"/>
      <c r="N1254" s="119"/>
      <c r="O1254" s="115"/>
      <c r="P1254" s="127"/>
      <c r="Q1254" s="113"/>
      <c r="R1254" s="114"/>
      <c r="S1254" s="579"/>
      <c r="T1254" s="211"/>
    </row>
    <row r="1255" spans="1:20" s="212" customFormat="1" ht="125.25" customHeight="1" x14ac:dyDescent="0.35">
      <c r="A1255" s="576"/>
      <c r="B1255" s="600"/>
      <c r="C1255" s="114" t="s">
        <v>66</v>
      </c>
      <c r="D1255" s="116" t="s">
        <v>130</v>
      </c>
      <c r="E1255" s="114" t="s">
        <v>25</v>
      </c>
      <c r="F1255" s="114">
        <v>100</v>
      </c>
      <c r="G1255" s="114">
        <v>100</v>
      </c>
      <c r="H1255" s="509">
        <f t="shared" si="124"/>
        <v>100</v>
      </c>
      <c r="I1255" s="114"/>
      <c r="J1255" s="118"/>
      <c r="K1255" s="116"/>
      <c r="L1255" s="114"/>
      <c r="M1255" s="119"/>
      <c r="N1255" s="119"/>
      <c r="O1255" s="115"/>
      <c r="P1255" s="127"/>
      <c r="Q1255" s="113"/>
      <c r="R1255" s="114"/>
      <c r="S1255" s="579"/>
      <c r="T1255" s="211"/>
    </row>
    <row r="1256" spans="1:20" s="333" customFormat="1" ht="40.5" customHeight="1" x14ac:dyDescent="0.35">
      <c r="A1256" s="576"/>
      <c r="B1256" s="600"/>
      <c r="C1256" s="191"/>
      <c r="D1256" s="183" t="s">
        <v>6</v>
      </c>
      <c r="E1256" s="191"/>
      <c r="F1256" s="184"/>
      <c r="G1256" s="184"/>
      <c r="H1256" s="187"/>
      <c r="I1256" s="187">
        <f>(H1251+H1252+H1253+H1254+H1255)/5</f>
        <v>100</v>
      </c>
      <c r="J1256" s="182"/>
      <c r="K1256" s="183" t="s">
        <v>6</v>
      </c>
      <c r="L1256" s="184"/>
      <c r="M1256" s="188"/>
      <c r="N1256" s="188"/>
      <c r="O1256" s="187"/>
      <c r="P1256" s="187">
        <f>O1251</f>
        <v>100.4950495049505</v>
      </c>
      <c r="Q1256" s="187">
        <f>(I1256+P1256)/2</f>
        <v>100.24752475247524</v>
      </c>
      <c r="R1256" s="191" t="s">
        <v>31</v>
      </c>
      <c r="S1256" s="579"/>
      <c r="T1256" s="332"/>
    </row>
    <row r="1257" spans="1:20" s="212" customFormat="1" ht="66" customHeight="1" x14ac:dyDescent="0.35">
      <c r="A1257" s="576"/>
      <c r="B1257" s="600"/>
      <c r="C1257" s="502" t="s">
        <v>28</v>
      </c>
      <c r="D1257" s="146" t="s">
        <v>133</v>
      </c>
      <c r="E1257" s="114"/>
      <c r="F1257" s="114"/>
      <c r="G1257" s="114"/>
      <c r="H1257" s="113"/>
      <c r="I1257" s="113"/>
      <c r="J1257" s="502" t="s">
        <v>28</v>
      </c>
      <c r="K1257" s="146" t="str">
        <f>D1257</f>
        <v>Реализация основных общеобразовательных программ среднего общего образования</v>
      </c>
      <c r="L1257" s="114"/>
      <c r="M1257" s="119"/>
      <c r="N1257" s="119"/>
      <c r="O1257" s="113"/>
      <c r="P1257" s="127"/>
      <c r="Q1257" s="113"/>
      <c r="R1257" s="114"/>
      <c r="S1257" s="579"/>
      <c r="T1257" s="211"/>
    </row>
    <row r="1258" spans="1:20" s="212" customFormat="1" ht="77.25" customHeight="1" x14ac:dyDescent="0.35">
      <c r="A1258" s="576"/>
      <c r="B1258" s="600"/>
      <c r="C1258" s="114" t="s">
        <v>29</v>
      </c>
      <c r="D1258" s="116" t="s">
        <v>134</v>
      </c>
      <c r="E1258" s="114" t="s">
        <v>25</v>
      </c>
      <c r="F1258" s="114">
        <v>100</v>
      </c>
      <c r="G1258" s="114">
        <v>100</v>
      </c>
      <c r="H1258" s="509">
        <f t="shared" ref="H1258:H1262" si="125">IF(G1258/F1258*100&gt;100,100,G1258/F1258*100)</f>
        <v>100</v>
      </c>
      <c r="I1258" s="114"/>
      <c r="J1258" s="118" t="s">
        <v>29</v>
      </c>
      <c r="K1258" s="116" t="s">
        <v>89</v>
      </c>
      <c r="L1258" s="114" t="s">
        <v>38</v>
      </c>
      <c r="M1258" s="114">
        <v>125</v>
      </c>
      <c r="N1258" s="114">
        <v>123</v>
      </c>
      <c r="O1258" s="115">
        <f>IF(N1258/M1258*100&gt;110,110,N1258/M1258*100)</f>
        <v>98.4</v>
      </c>
      <c r="P1258" s="114"/>
      <c r="Q1258" s="113"/>
      <c r="R1258" s="114"/>
      <c r="S1258" s="579"/>
      <c r="T1258" s="211"/>
    </row>
    <row r="1259" spans="1:20" s="212" customFormat="1" x14ac:dyDescent="0.35">
      <c r="A1259" s="576"/>
      <c r="B1259" s="600"/>
      <c r="C1259" s="114" t="s">
        <v>30</v>
      </c>
      <c r="D1259" s="116" t="s">
        <v>560</v>
      </c>
      <c r="E1259" s="114" t="s">
        <v>25</v>
      </c>
      <c r="F1259" s="114">
        <v>100</v>
      </c>
      <c r="G1259" s="114">
        <v>100</v>
      </c>
      <c r="H1259" s="509">
        <f t="shared" si="125"/>
        <v>100</v>
      </c>
      <c r="I1259" s="114"/>
      <c r="J1259" s="118"/>
      <c r="K1259" s="116"/>
      <c r="L1259" s="114"/>
      <c r="M1259" s="119"/>
      <c r="N1259" s="119"/>
      <c r="O1259" s="115"/>
      <c r="P1259" s="127"/>
      <c r="Q1259" s="113"/>
      <c r="R1259" s="114"/>
      <c r="S1259" s="579"/>
      <c r="T1259" s="211"/>
    </row>
    <row r="1260" spans="1:20" s="212" customFormat="1" ht="51.75" customHeight="1" x14ac:dyDescent="0.35">
      <c r="A1260" s="576"/>
      <c r="B1260" s="600"/>
      <c r="C1260" s="114" t="s">
        <v>52</v>
      </c>
      <c r="D1260" s="116" t="s">
        <v>468</v>
      </c>
      <c r="E1260" s="114" t="s">
        <v>25</v>
      </c>
      <c r="F1260" s="114">
        <v>100</v>
      </c>
      <c r="G1260" s="114">
        <v>100</v>
      </c>
      <c r="H1260" s="509">
        <f t="shared" si="125"/>
        <v>100</v>
      </c>
      <c r="I1260" s="114"/>
      <c r="J1260" s="118"/>
      <c r="K1260" s="116"/>
      <c r="L1260" s="114"/>
      <c r="M1260" s="119"/>
      <c r="N1260" s="119"/>
      <c r="O1260" s="115"/>
      <c r="P1260" s="127"/>
      <c r="Q1260" s="113"/>
      <c r="R1260" s="114"/>
      <c r="S1260" s="579"/>
      <c r="T1260" s="211"/>
    </row>
    <row r="1261" spans="1:20" s="212" customFormat="1" ht="71.25" customHeight="1" x14ac:dyDescent="0.35">
      <c r="A1261" s="576"/>
      <c r="B1261" s="600"/>
      <c r="C1261" s="114" t="s">
        <v>53</v>
      </c>
      <c r="D1261" s="116" t="s">
        <v>88</v>
      </c>
      <c r="E1261" s="114" t="s">
        <v>25</v>
      </c>
      <c r="F1261" s="114">
        <v>90</v>
      </c>
      <c r="G1261" s="114">
        <v>100</v>
      </c>
      <c r="H1261" s="509">
        <f t="shared" si="125"/>
        <v>100</v>
      </c>
      <c r="I1261" s="114"/>
      <c r="J1261" s="118"/>
      <c r="K1261" s="116"/>
      <c r="L1261" s="114"/>
      <c r="M1261" s="119"/>
      <c r="N1261" s="119"/>
      <c r="O1261" s="115"/>
      <c r="P1261" s="127"/>
      <c r="Q1261" s="113"/>
      <c r="R1261" s="114"/>
      <c r="S1261" s="579"/>
      <c r="T1261" s="211"/>
    </row>
    <row r="1262" spans="1:20" s="212" customFormat="1" ht="125.25" customHeight="1" x14ac:dyDescent="0.35">
      <c r="A1262" s="576"/>
      <c r="B1262" s="600"/>
      <c r="C1262" s="114" t="s">
        <v>135</v>
      </c>
      <c r="D1262" s="116" t="s">
        <v>130</v>
      </c>
      <c r="E1262" s="114" t="s">
        <v>25</v>
      </c>
      <c r="F1262" s="114">
        <v>100</v>
      </c>
      <c r="G1262" s="114">
        <v>100</v>
      </c>
      <c r="H1262" s="509">
        <f t="shared" si="125"/>
        <v>100</v>
      </c>
      <c r="I1262" s="114"/>
      <c r="J1262" s="118"/>
      <c r="K1262" s="116"/>
      <c r="L1262" s="114"/>
      <c r="M1262" s="119"/>
      <c r="N1262" s="119"/>
      <c r="O1262" s="115"/>
      <c r="P1262" s="127"/>
      <c r="Q1262" s="113"/>
      <c r="R1262" s="114"/>
      <c r="S1262" s="579"/>
      <c r="T1262" s="211"/>
    </row>
    <row r="1263" spans="1:20" s="333" customFormat="1" ht="40.5" customHeight="1" x14ac:dyDescent="0.35">
      <c r="A1263" s="576"/>
      <c r="B1263" s="600"/>
      <c r="C1263" s="191"/>
      <c r="D1263" s="183" t="s">
        <v>6</v>
      </c>
      <c r="E1263" s="191"/>
      <c r="F1263" s="184"/>
      <c r="G1263" s="184"/>
      <c r="H1263" s="187"/>
      <c r="I1263" s="187">
        <f>(H1258+H1259+H1260+H1261+H1262)/5</f>
        <v>100</v>
      </c>
      <c r="J1263" s="182"/>
      <c r="K1263" s="183" t="s">
        <v>6</v>
      </c>
      <c r="L1263" s="184"/>
      <c r="M1263" s="188"/>
      <c r="N1263" s="188"/>
      <c r="O1263" s="187"/>
      <c r="P1263" s="187">
        <f>O1258</f>
        <v>98.4</v>
      </c>
      <c r="Q1263" s="187">
        <f>(I1263+P1263)/2</f>
        <v>99.2</v>
      </c>
      <c r="R1263" s="191" t="s">
        <v>361</v>
      </c>
      <c r="S1263" s="579"/>
      <c r="T1263" s="332"/>
    </row>
    <row r="1264" spans="1:20" s="212" customFormat="1" x14ac:dyDescent="0.35">
      <c r="A1264" s="576"/>
      <c r="B1264" s="600"/>
      <c r="C1264" s="502" t="s">
        <v>42</v>
      </c>
      <c r="D1264" s="146" t="s">
        <v>90</v>
      </c>
      <c r="E1264" s="114"/>
      <c r="F1264" s="114"/>
      <c r="G1264" s="114"/>
      <c r="H1264" s="113"/>
      <c r="I1264" s="113"/>
      <c r="J1264" s="502" t="s">
        <v>42</v>
      </c>
      <c r="K1264" s="146" t="s">
        <v>90</v>
      </c>
      <c r="L1264" s="114"/>
      <c r="M1264" s="119"/>
      <c r="N1264" s="119"/>
      <c r="O1264" s="113"/>
      <c r="P1264" s="127"/>
      <c r="Q1264" s="113"/>
      <c r="R1264" s="114"/>
      <c r="S1264" s="579"/>
      <c r="T1264" s="211"/>
    </row>
    <row r="1265" spans="1:20" s="212" customFormat="1" ht="49.5" customHeight="1" x14ac:dyDescent="0.35">
      <c r="A1265" s="576"/>
      <c r="B1265" s="600"/>
      <c r="C1265" s="114" t="s">
        <v>43</v>
      </c>
      <c r="D1265" s="116" t="s">
        <v>136</v>
      </c>
      <c r="E1265" s="114" t="s">
        <v>25</v>
      </c>
      <c r="F1265" s="114">
        <v>100</v>
      </c>
      <c r="G1265" s="114">
        <v>100</v>
      </c>
      <c r="H1265" s="509">
        <f t="shared" ref="H1265:H1266" si="126">IF(G1265/F1265*100&gt;100,100,G1265/F1265*100)</f>
        <v>100</v>
      </c>
      <c r="I1265" s="114"/>
      <c r="J1265" s="118" t="s">
        <v>43</v>
      </c>
      <c r="K1265" s="116" t="s">
        <v>89</v>
      </c>
      <c r="L1265" s="114" t="s">
        <v>38</v>
      </c>
      <c r="M1265" s="114">
        <v>133</v>
      </c>
      <c r="N1265" s="114">
        <v>133</v>
      </c>
      <c r="O1265" s="115">
        <f>IF(N1265/M1265*100&gt;110,110,N1265/M1265*100)</f>
        <v>100</v>
      </c>
      <c r="P1265" s="127"/>
      <c r="Q1265" s="113"/>
      <c r="R1265" s="114"/>
      <c r="S1265" s="579"/>
      <c r="T1265" s="211"/>
    </row>
    <row r="1266" spans="1:20" s="212" customFormat="1" ht="80.25" customHeight="1" x14ac:dyDescent="0.35">
      <c r="A1266" s="576"/>
      <c r="B1266" s="600"/>
      <c r="C1266" s="114" t="s">
        <v>137</v>
      </c>
      <c r="D1266" s="116" t="s">
        <v>138</v>
      </c>
      <c r="E1266" s="114" t="s">
        <v>25</v>
      </c>
      <c r="F1266" s="114">
        <v>90</v>
      </c>
      <c r="G1266" s="114">
        <v>90</v>
      </c>
      <c r="H1266" s="509">
        <f t="shared" si="126"/>
        <v>100</v>
      </c>
      <c r="I1266" s="114"/>
      <c r="J1266" s="118"/>
      <c r="K1266" s="116"/>
      <c r="L1266" s="114"/>
      <c r="M1266" s="119"/>
      <c r="N1266" s="119"/>
      <c r="O1266" s="115"/>
      <c r="P1266" s="127"/>
      <c r="Q1266" s="113"/>
      <c r="R1266" s="114"/>
      <c r="S1266" s="579"/>
      <c r="T1266" s="211"/>
    </row>
    <row r="1267" spans="1:20" s="333" customFormat="1" ht="40.5" customHeight="1" x14ac:dyDescent="0.35">
      <c r="A1267" s="576"/>
      <c r="B1267" s="600"/>
      <c r="C1267" s="191"/>
      <c r="D1267" s="183" t="s">
        <v>6</v>
      </c>
      <c r="E1267" s="191"/>
      <c r="F1267" s="184"/>
      <c r="G1267" s="184"/>
      <c r="H1267" s="187"/>
      <c r="I1267" s="187">
        <f>(H1265+H1266)/2</f>
        <v>100</v>
      </c>
      <c r="J1267" s="182"/>
      <c r="K1267" s="183" t="s">
        <v>6</v>
      </c>
      <c r="L1267" s="184"/>
      <c r="M1267" s="188"/>
      <c r="N1267" s="188"/>
      <c r="O1267" s="187"/>
      <c r="P1267" s="187">
        <f>O1265</f>
        <v>100</v>
      </c>
      <c r="Q1267" s="187">
        <f>(I1267+P1267)/2</f>
        <v>100</v>
      </c>
      <c r="R1267" s="191" t="s">
        <v>31</v>
      </c>
      <c r="S1267" s="579"/>
      <c r="T1267" s="332"/>
    </row>
    <row r="1268" spans="1:20" s="212" customFormat="1" ht="53.25" customHeight="1" x14ac:dyDescent="0.35">
      <c r="A1268" s="576"/>
      <c r="B1268" s="600"/>
      <c r="C1268" s="502" t="s">
        <v>164</v>
      </c>
      <c r="D1268" s="146" t="s">
        <v>211</v>
      </c>
      <c r="E1268" s="114"/>
      <c r="F1268" s="114"/>
      <c r="G1268" s="114"/>
      <c r="H1268" s="113"/>
      <c r="I1268" s="113"/>
      <c r="J1268" s="502" t="s">
        <v>164</v>
      </c>
      <c r="K1268" s="146" t="str">
        <f>D1268</f>
        <v>Реализация дополнительных общеразвивающих программ</v>
      </c>
      <c r="L1268" s="114"/>
      <c r="M1268" s="119"/>
      <c r="N1268" s="119"/>
      <c r="O1268" s="113"/>
      <c r="P1268" s="127"/>
      <c r="Q1268" s="113"/>
      <c r="R1268" s="114"/>
      <c r="S1268" s="579"/>
      <c r="T1268" s="211"/>
    </row>
    <row r="1269" spans="1:20" s="212" customFormat="1" ht="92.25" customHeight="1" x14ac:dyDescent="0.35">
      <c r="A1269" s="576"/>
      <c r="B1269" s="600"/>
      <c r="C1269" s="114" t="s">
        <v>165</v>
      </c>
      <c r="D1269" s="116" t="s">
        <v>138</v>
      </c>
      <c r="E1269" s="114" t="s">
        <v>25</v>
      </c>
      <c r="F1269" s="114">
        <v>90</v>
      </c>
      <c r="G1269" s="114">
        <v>90</v>
      </c>
      <c r="H1269" s="509">
        <f>IF(G1269/F1269*100&gt;100,100,G1269/F1269*100)</f>
        <v>100</v>
      </c>
      <c r="I1269" s="114"/>
      <c r="J1269" s="118" t="str">
        <f>C1269</f>
        <v>5.1.</v>
      </c>
      <c r="K1269" s="116" t="s">
        <v>469</v>
      </c>
      <c r="L1269" s="114" t="s">
        <v>339</v>
      </c>
      <c r="M1269" s="114">
        <v>73440</v>
      </c>
      <c r="N1269" s="114">
        <v>80742</v>
      </c>
      <c r="O1269" s="115">
        <f>IF(N1269/M1269*100&gt;110,110,N1269/M1269*100)</f>
        <v>109.94281045751634</v>
      </c>
      <c r="P1269" s="127"/>
      <c r="Q1269" s="113"/>
      <c r="R1269" s="114"/>
      <c r="S1269" s="579"/>
      <c r="T1269" s="211"/>
    </row>
    <row r="1270" spans="1:20" s="333" customFormat="1" ht="41.25" customHeight="1" x14ac:dyDescent="0.35">
      <c r="A1270" s="576"/>
      <c r="B1270" s="600"/>
      <c r="C1270" s="191"/>
      <c r="D1270" s="183" t="s">
        <v>6</v>
      </c>
      <c r="E1270" s="191"/>
      <c r="F1270" s="184"/>
      <c r="G1270" s="184"/>
      <c r="H1270" s="187"/>
      <c r="I1270" s="187">
        <f>H1269</f>
        <v>100</v>
      </c>
      <c r="J1270" s="182"/>
      <c r="K1270" s="183" t="s">
        <v>6</v>
      </c>
      <c r="L1270" s="184"/>
      <c r="M1270" s="188"/>
      <c r="N1270" s="188"/>
      <c r="O1270" s="187"/>
      <c r="P1270" s="187">
        <f>O1269</f>
        <v>109.94281045751634</v>
      </c>
      <c r="Q1270" s="187">
        <f>(I1270+P1270)/2</f>
        <v>104.97140522875817</v>
      </c>
      <c r="R1270" s="191" t="s">
        <v>31</v>
      </c>
      <c r="S1270" s="579"/>
      <c r="T1270" s="332"/>
    </row>
    <row r="1271" spans="1:20" s="212" customFormat="1" ht="60" customHeight="1" x14ac:dyDescent="0.35">
      <c r="A1271" s="576">
        <v>69</v>
      </c>
      <c r="B1271" s="600" t="s">
        <v>181</v>
      </c>
      <c r="C1271" s="502" t="s">
        <v>12</v>
      </c>
      <c r="D1271" s="146" t="s">
        <v>128</v>
      </c>
      <c r="E1271" s="502"/>
      <c r="F1271" s="502"/>
      <c r="G1271" s="502"/>
      <c r="H1271" s="113"/>
      <c r="I1271" s="113"/>
      <c r="J1271" s="502" t="s">
        <v>12</v>
      </c>
      <c r="K1271" s="146" t="s">
        <v>128</v>
      </c>
      <c r="L1271" s="114"/>
      <c r="M1271" s="114"/>
      <c r="N1271" s="114"/>
      <c r="O1271" s="113"/>
      <c r="P1271" s="127"/>
      <c r="Q1271" s="113"/>
      <c r="R1271" s="114"/>
      <c r="S1271" s="579" t="s">
        <v>280</v>
      </c>
      <c r="T1271" s="211"/>
    </row>
    <row r="1272" spans="1:20" s="212" customFormat="1" ht="70.5" customHeight="1" x14ac:dyDescent="0.35">
      <c r="A1272" s="576"/>
      <c r="B1272" s="600"/>
      <c r="C1272" s="114" t="s">
        <v>7</v>
      </c>
      <c r="D1272" s="116" t="s">
        <v>129</v>
      </c>
      <c r="E1272" s="114" t="s">
        <v>25</v>
      </c>
      <c r="F1272" s="114">
        <v>100</v>
      </c>
      <c r="G1272" s="114">
        <v>100</v>
      </c>
      <c r="H1272" s="509">
        <f t="shared" ref="H1272:H1276" si="127">IF(G1272/F1272*100&gt;100,100,G1272/F1272*100)</f>
        <v>100</v>
      </c>
      <c r="I1272" s="114"/>
      <c r="J1272" s="114" t="s">
        <v>7</v>
      </c>
      <c r="K1272" s="116" t="s">
        <v>89</v>
      </c>
      <c r="L1272" s="114" t="s">
        <v>38</v>
      </c>
      <c r="M1272" s="114">
        <v>302</v>
      </c>
      <c r="N1272" s="114">
        <v>293</v>
      </c>
      <c r="O1272" s="115">
        <f>IF(N1272/M1272*100&gt;110,110,N1272/M1272*100)</f>
        <v>97.019867549668874</v>
      </c>
      <c r="P1272" s="127"/>
      <c r="Q1272" s="113"/>
      <c r="R1272" s="114"/>
      <c r="S1272" s="579"/>
      <c r="T1272" s="211"/>
    </row>
    <row r="1273" spans="1:20" s="212" customFormat="1" x14ac:dyDescent="0.35">
      <c r="A1273" s="576"/>
      <c r="B1273" s="600"/>
      <c r="C1273" s="114" t="s">
        <v>8</v>
      </c>
      <c r="D1273" s="116" t="s">
        <v>561</v>
      </c>
      <c r="E1273" s="114" t="s">
        <v>25</v>
      </c>
      <c r="F1273" s="114">
        <v>100</v>
      </c>
      <c r="G1273" s="114">
        <v>100</v>
      </c>
      <c r="H1273" s="509">
        <f t="shared" si="127"/>
        <v>100</v>
      </c>
      <c r="I1273" s="114"/>
      <c r="J1273" s="114"/>
      <c r="K1273" s="503"/>
      <c r="L1273" s="114"/>
      <c r="M1273" s="117"/>
      <c r="N1273" s="117"/>
      <c r="O1273" s="115"/>
      <c r="P1273" s="127"/>
      <c r="Q1273" s="113"/>
      <c r="R1273" s="114"/>
      <c r="S1273" s="579"/>
      <c r="T1273" s="211"/>
    </row>
    <row r="1274" spans="1:20" s="212" customFormat="1" ht="57" customHeight="1" x14ac:dyDescent="0.35">
      <c r="A1274" s="576"/>
      <c r="B1274" s="600"/>
      <c r="C1274" s="114" t="s">
        <v>9</v>
      </c>
      <c r="D1274" s="116" t="s">
        <v>468</v>
      </c>
      <c r="E1274" s="114" t="s">
        <v>25</v>
      </c>
      <c r="F1274" s="114">
        <v>100</v>
      </c>
      <c r="G1274" s="114">
        <v>100</v>
      </c>
      <c r="H1274" s="509">
        <f t="shared" si="127"/>
        <v>100</v>
      </c>
      <c r="I1274" s="114"/>
      <c r="J1274" s="118"/>
      <c r="K1274" s="116"/>
      <c r="L1274" s="114"/>
      <c r="M1274" s="119"/>
      <c r="N1274" s="119"/>
      <c r="O1274" s="115"/>
      <c r="P1274" s="127"/>
      <c r="Q1274" s="113"/>
      <c r="R1274" s="114"/>
      <c r="S1274" s="579"/>
      <c r="T1274" s="211"/>
    </row>
    <row r="1275" spans="1:20" s="212" customFormat="1" ht="71.25" customHeight="1" x14ac:dyDescent="0.35">
      <c r="A1275" s="576"/>
      <c r="B1275" s="600"/>
      <c r="C1275" s="114" t="s">
        <v>10</v>
      </c>
      <c r="D1275" s="116" t="s">
        <v>88</v>
      </c>
      <c r="E1275" s="114" t="s">
        <v>25</v>
      </c>
      <c r="F1275" s="114">
        <v>90</v>
      </c>
      <c r="G1275" s="114">
        <v>100</v>
      </c>
      <c r="H1275" s="509">
        <f t="shared" si="127"/>
        <v>100</v>
      </c>
      <c r="I1275" s="114"/>
      <c r="J1275" s="118"/>
      <c r="K1275" s="116"/>
      <c r="L1275" s="114"/>
      <c r="M1275" s="119"/>
      <c r="N1275" s="119"/>
      <c r="O1275" s="115"/>
      <c r="P1275" s="127"/>
      <c r="Q1275" s="113"/>
      <c r="R1275" s="114"/>
      <c r="S1275" s="579"/>
      <c r="T1275" s="211"/>
    </row>
    <row r="1276" spans="1:20" s="212" customFormat="1" ht="127.5" customHeight="1" x14ac:dyDescent="0.35">
      <c r="A1276" s="576"/>
      <c r="B1276" s="600"/>
      <c r="C1276" s="114" t="s">
        <v>35</v>
      </c>
      <c r="D1276" s="116" t="s">
        <v>130</v>
      </c>
      <c r="E1276" s="114" t="s">
        <v>25</v>
      </c>
      <c r="F1276" s="114">
        <v>100</v>
      </c>
      <c r="G1276" s="114">
        <v>100</v>
      </c>
      <c r="H1276" s="509">
        <f t="shared" si="127"/>
        <v>100</v>
      </c>
      <c r="I1276" s="114"/>
      <c r="J1276" s="118"/>
      <c r="K1276" s="116"/>
      <c r="L1276" s="114"/>
      <c r="M1276" s="119"/>
      <c r="N1276" s="119"/>
      <c r="O1276" s="115"/>
      <c r="P1276" s="127"/>
      <c r="Q1276" s="113"/>
      <c r="R1276" s="114"/>
      <c r="S1276" s="579"/>
      <c r="T1276" s="211"/>
    </row>
    <row r="1277" spans="1:20" s="333" customFormat="1" ht="40.5" customHeight="1" x14ac:dyDescent="0.35">
      <c r="A1277" s="576"/>
      <c r="B1277" s="600"/>
      <c r="C1277" s="191"/>
      <c r="D1277" s="183" t="s">
        <v>6</v>
      </c>
      <c r="E1277" s="191"/>
      <c r="F1277" s="184"/>
      <c r="G1277" s="184"/>
      <c r="H1277" s="187"/>
      <c r="I1277" s="187">
        <f>(H1272+H1273+H1274+H1275+H1276)/5</f>
        <v>100</v>
      </c>
      <c r="J1277" s="182"/>
      <c r="K1277" s="183" t="s">
        <v>6</v>
      </c>
      <c r="L1277" s="184"/>
      <c r="M1277" s="188"/>
      <c r="N1277" s="188"/>
      <c r="O1277" s="187"/>
      <c r="P1277" s="187">
        <f>O1272</f>
        <v>97.019867549668874</v>
      </c>
      <c r="Q1277" s="187">
        <f>(I1277+P1277)/2</f>
        <v>98.509933774834437</v>
      </c>
      <c r="R1277" s="191" t="s">
        <v>361</v>
      </c>
      <c r="S1277" s="579"/>
      <c r="T1277" s="332"/>
    </row>
    <row r="1278" spans="1:20" s="212" customFormat="1" ht="69.75" customHeight="1" x14ac:dyDescent="0.35">
      <c r="A1278" s="576"/>
      <c r="B1278" s="600"/>
      <c r="C1278" s="502" t="s">
        <v>13</v>
      </c>
      <c r="D1278" s="146" t="s">
        <v>131</v>
      </c>
      <c r="E1278" s="114"/>
      <c r="F1278" s="114"/>
      <c r="G1278" s="114"/>
      <c r="H1278" s="113"/>
      <c r="I1278" s="113"/>
      <c r="J1278" s="502" t="s">
        <v>13</v>
      </c>
      <c r="K1278" s="146" t="s">
        <v>131</v>
      </c>
      <c r="L1278" s="114"/>
      <c r="M1278" s="119"/>
      <c r="N1278" s="119"/>
      <c r="O1278" s="113"/>
      <c r="P1278" s="127"/>
      <c r="Q1278" s="113"/>
      <c r="R1278" s="114"/>
      <c r="S1278" s="579"/>
      <c r="T1278" s="211"/>
    </row>
    <row r="1279" spans="1:20" s="212" customFormat="1" ht="69.75" customHeight="1" x14ac:dyDescent="0.35">
      <c r="A1279" s="576"/>
      <c r="B1279" s="600"/>
      <c r="C1279" s="114" t="s">
        <v>14</v>
      </c>
      <c r="D1279" s="116" t="s">
        <v>132</v>
      </c>
      <c r="E1279" s="114" t="s">
        <v>25</v>
      </c>
      <c r="F1279" s="114">
        <v>100</v>
      </c>
      <c r="G1279" s="114">
        <v>100</v>
      </c>
      <c r="H1279" s="509">
        <f t="shared" ref="H1279:H1283" si="128">IF(G1279/F1279*100&gt;100,100,G1279/F1279*100)</f>
        <v>100</v>
      </c>
      <c r="I1279" s="114"/>
      <c r="J1279" s="118" t="s">
        <v>14</v>
      </c>
      <c r="K1279" s="116" t="s">
        <v>89</v>
      </c>
      <c r="L1279" s="114" t="s">
        <v>38</v>
      </c>
      <c r="M1279" s="114">
        <v>332</v>
      </c>
      <c r="N1279" s="114">
        <v>335</v>
      </c>
      <c r="O1279" s="115">
        <f>IF(N1279/M1279*100&gt;110,110,N1279/M1279*100)</f>
        <v>100.90361445783131</v>
      </c>
      <c r="P1279" s="114"/>
      <c r="Q1279" s="113"/>
      <c r="R1279" s="114"/>
      <c r="S1279" s="579"/>
      <c r="T1279" s="211"/>
    </row>
    <row r="1280" spans="1:20" s="212" customFormat="1" x14ac:dyDescent="0.35">
      <c r="A1280" s="576"/>
      <c r="B1280" s="600"/>
      <c r="C1280" s="114" t="s">
        <v>15</v>
      </c>
      <c r="D1280" s="116" t="s">
        <v>559</v>
      </c>
      <c r="E1280" s="114" t="s">
        <v>25</v>
      </c>
      <c r="F1280" s="114">
        <v>100</v>
      </c>
      <c r="G1280" s="114">
        <v>100</v>
      </c>
      <c r="H1280" s="509">
        <f t="shared" si="128"/>
        <v>100</v>
      </c>
      <c r="I1280" s="114"/>
      <c r="J1280" s="118"/>
      <c r="K1280" s="116"/>
      <c r="L1280" s="114"/>
      <c r="M1280" s="119"/>
      <c r="N1280" s="119"/>
      <c r="O1280" s="115"/>
      <c r="P1280" s="127"/>
      <c r="Q1280" s="113"/>
      <c r="R1280" s="114"/>
      <c r="S1280" s="579"/>
      <c r="T1280" s="211"/>
    </row>
    <row r="1281" spans="1:20" s="212" customFormat="1" ht="61.5" customHeight="1" x14ac:dyDescent="0.35">
      <c r="A1281" s="576"/>
      <c r="B1281" s="600"/>
      <c r="C1281" s="114" t="s">
        <v>39</v>
      </c>
      <c r="D1281" s="116" t="s">
        <v>468</v>
      </c>
      <c r="E1281" s="114" t="s">
        <v>25</v>
      </c>
      <c r="F1281" s="114">
        <v>100</v>
      </c>
      <c r="G1281" s="114">
        <v>100</v>
      </c>
      <c r="H1281" s="509">
        <f t="shared" si="128"/>
        <v>100</v>
      </c>
      <c r="I1281" s="114"/>
      <c r="J1281" s="118"/>
      <c r="K1281" s="116"/>
      <c r="L1281" s="114"/>
      <c r="M1281" s="119"/>
      <c r="N1281" s="119"/>
      <c r="O1281" s="115"/>
      <c r="P1281" s="127"/>
      <c r="Q1281" s="113"/>
      <c r="R1281" s="114"/>
      <c r="S1281" s="579"/>
      <c r="T1281" s="211"/>
    </row>
    <row r="1282" spans="1:20" s="212" customFormat="1" ht="75.75" customHeight="1" x14ac:dyDescent="0.35">
      <c r="A1282" s="576"/>
      <c r="B1282" s="600"/>
      <c r="C1282" s="114" t="s">
        <v>45</v>
      </c>
      <c r="D1282" s="116" t="s">
        <v>88</v>
      </c>
      <c r="E1282" s="114" t="s">
        <v>25</v>
      </c>
      <c r="F1282" s="114">
        <v>90</v>
      </c>
      <c r="G1282" s="114">
        <v>100</v>
      </c>
      <c r="H1282" s="509">
        <f t="shared" si="128"/>
        <v>100</v>
      </c>
      <c r="I1282" s="114"/>
      <c r="J1282" s="118"/>
      <c r="K1282" s="116"/>
      <c r="L1282" s="114"/>
      <c r="M1282" s="119"/>
      <c r="N1282" s="119"/>
      <c r="O1282" s="115"/>
      <c r="P1282" s="127"/>
      <c r="Q1282" s="113"/>
      <c r="R1282" s="114"/>
      <c r="S1282" s="579"/>
      <c r="T1282" s="211"/>
    </row>
    <row r="1283" spans="1:20" s="212" customFormat="1" ht="124.5" customHeight="1" x14ac:dyDescent="0.35">
      <c r="A1283" s="576"/>
      <c r="B1283" s="600"/>
      <c r="C1283" s="114" t="s">
        <v>66</v>
      </c>
      <c r="D1283" s="116" t="s">
        <v>130</v>
      </c>
      <c r="E1283" s="114" t="s">
        <v>25</v>
      </c>
      <c r="F1283" s="114">
        <v>100</v>
      </c>
      <c r="G1283" s="114">
        <v>100</v>
      </c>
      <c r="H1283" s="509">
        <f t="shared" si="128"/>
        <v>100</v>
      </c>
      <c r="I1283" s="114"/>
      <c r="J1283" s="118"/>
      <c r="K1283" s="116"/>
      <c r="L1283" s="114"/>
      <c r="M1283" s="119"/>
      <c r="N1283" s="119"/>
      <c r="O1283" s="115"/>
      <c r="P1283" s="127"/>
      <c r="Q1283" s="113"/>
      <c r="R1283" s="114"/>
      <c r="S1283" s="579"/>
      <c r="T1283" s="211"/>
    </row>
    <row r="1284" spans="1:20" s="333" customFormat="1" ht="40.5" customHeight="1" x14ac:dyDescent="0.35">
      <c r="A1284" s="576"/>
      <c r="B1284" s="600"/>
      <c r="C1284" s="191"/>
      <c r="D1284" s="183" t="s">
        <v>6</v>
      </c>
      <c r="E1284" s="191"/>
      <c r="F1284" s="184"/>
      <c r="G1284" s="184"/>
      <c r="H1284" s="187"/>
      <c r="I1284" s="187">
        <f>(H1279+H1280+H1281+H1282+H1283)/5</f>
        <v>100</v>
      </c>
      <c r="J1284" s="182"/>
      <c r="K1284" s="183" t="s">
        <v>6</v>
      </c>
      <c r="L1284" s="184"/>
      <c r="M1284" s="188"/>
      <c r="N1284" s="188"/>
      <c r="O1284" s="187"/>
      <c r="P1284" s="187">
        <f>O1279</f>
        <v>100.90361445783131</v>
      </c>
      <c r="Q1284" s="187">
        <f>(I1284+P1284)/2</f>
        <v>100.45180722891565</v>
      </c>
      <c r="R1284" s="191" t="s">
        <v>31</v>
      </c>
      <c r="S1284" s="579"/>
      <c r="T1284" s="332"/>
    </row>
    <row r="1285" spans="1:20" s="212" customFormat="1" ht="73.5" customHeight="1" x14ac:dyDescent="0.35">
      <c r="A1285" s="576"/>
      <c r="B1285" s="600"/>
      <c r="C1285" s="502" t="s">
        <v>28</v>
      </c>
      <c r="D1285" s="146" t="s">
        <v>133</v>
      </c>
      <c r="E1285" s="114"/>
      <c r="F1285" s="114"/>
      <c r="G1285" s="114"/>
      <c r="H1285" s="113"/>
      <c r="I1285" s="113"/>
      <c r="J1285" s="502" t="s">
        <v>28</v>
      </c>
      <c r="K1285" s="146" t="str">
        <f>D1285</f>
        <v>Реализация основных общеобразовательных программ среднего общего образования</v>
      </c>
      <c r="L1285" s="114"/>
      <c r="M1285" s="119"/>
      <c r="N1285" s="119"/>
      <c r="O1285" s="113"/>
      <c r="P1285" s="127"/>
      <c r="Q1285" s="113"/>
      <c r="R1285" s="114"/>
      <c r="S1285" s="579"/>
      <c r="T1285" s="211"/>
    </row>
    <row r="1286" spans="1:20" s="212" customFormat="1" ht="73.5" customHeight="1" x14ac:dyDescent="0.35">
      <c r="A1286" s="576"/>
      <c r="B1286" s="600"/>
      <c r="C1286" s="114" t="s">
        <v>29</v>
      </c>
      <c r="D1286" s="116" t="s">
        <v>134</v>
      </c>
      <c r="E1286" s="114" t="s">
        <v>25</v>
      </c>
      <c r="F1286" s="114">
        <v>100</v>
      </c>
      <c r="G1286" s="114">
        <v>100</v>
      </c>
      <c r="H1286" s="509">
        <f t="shared" ref="H1286:H1290" si="129">IF(G1286/F1286*100&gt;100,100,G1286/F1286*100)</f>
        <v>100</v>
      </c>
      <c r="I1286" s="114"/>
      <c r="J1286" s="118" t="s">
        <v>29</v>
      </c>
      <c r="K1286" s="116" t="s">
        <v>89</v>
      </c>
      <c r="L1286" s="114" t="s">
        <v>38</v>
      </c>
      <c r="M1286" s="114">
        <v>55</v>
      </c>
      <c r="N1286" s="114">
        <v>56</v>
      </c>
      <c r="O1286" s="115">
        <f>IF(N1286/M1286*100&gt;110,110,N1286/M1286*100)</f>
        <v>101.81818181818181</v>
      </c>
      <c r="P1286" s="114"/>
      <c r="Q1286" s="113"/>
      <c r="R1286" s="114"/>
      <c r="S1286" s="579"/>
      <c r="T1286" s="211"/>
    </row>
    <row r="1287" spans="1:20" s="212" customFormat="1" x14ac:dyDescent="0.35">
      <c r="A1287" s="576"/>
      <c r="B1287" s="600"/>
      <c r="C1287" s="114" t="s">
        <v>30</v>
      </c>
      <c r="D1287" s="116" t="s">
        <v>560</v>
      </c>
      <c r="E1287" s="114" t="s">
        <v>25</v>
      </c>
      <c r="F1287" s="114">
        <v>100</v>
      </c>
      <c r="G1287" s="114">
        <v>100</v>
      </c>
      <c r="H1287" s="509">
        <f t="shared" si="129"/>
        <v>100</v>
      </c>
      <c r="I1287" s="114"/>
      <c r="J1287" s="118"/>
      <c r="K1287" s="116"/>
      <c r="L1287" s="114"/>
      <c r="M1287" s="119"/>
      <c r="N1287" s="119"/>
      <c r="O1287" s="115"/>
      <c r="P1287" s="127"/>
      <c r="Q1287" s="113"/>
      <c r="R1287" s="114"/>
      <c r="S1287" s="579"/>
      <c r="T1287" s="211"/>
    </row>
    <row r="1288" spans="1:20" s="212" customFormat="1" ht="43.5" customHeight="1" x14ac:dyDescent="0.35">
      <c r="A1288" s="576"/>
      <c r="B1288" s="600"/>
      <c r="C1288" s="114" t="s">
        <v>52</v>
      </c>
      <c r="D1288" s="116" t="s">
        <v>468</v>
      </c>
      <c r="E1288" s="114" t="s">
        <v>25</v>
      </c>
      <c r="F1288" s="114">
        <v>100</v>
      </c>
      <c r="G1288" s="114">
        <v>100</v>
      </c>
      <c r="H1288" s="509">
        <f t="shared" si="129"/>
        <v>100</v>
      </c>
      <c r="I1288" s="114"/>
      <c r="J1288" s="118"/>
      <c r="K1288" s="116"/>
      <c r="L1288" s="114"/>
      <c r="M1288" s="119"/>
      <c r="N1288" s="119"/>
      <c r="O1288" s="115"/>
      <c r="P1288" s="127"/>
      <c r="Q1288" s="113"/>
      <c r="R1288" s="114"/>
      <c r="S1288" s="579"/>
      <c r="T1288" s="211"/>
    </row>
    <row r="1289" spans="1:20" s="212" customFormat="1" ht="72.75" customHeight="1" x14ac:dyDescent="0.35">
      <c r="A1289" s="576"/>
      <c r="B1289" s="600"/>
      <c r="C1289" s="114" t="s">
        <v>53</v>
      </c>
      <c r="D1289" s="116" t="s">
        <v>88</v>
      </c>
      <c r="E1289" s="114" t="s">
        <v>25</v>
      </c>
      <c r="F1289" s="114">
        <v>90</v>
      </c>
      <c r="G1289" s="114">
        <v>100</v>
      </c>
      <c r="H1289" s="509">
        <f t="shared" si="129"/>
        <v>100</v>
      </c>
      <c r="I1289" s="114"/>
      <c r="J1289" s="118"/>
      <c r="K1289" s="116"/>
      <c r="L1289" s="114"/>
      <c r="M1289" s="119"/>
      <c r="N1289" s="119"/>
      <c r="O1289" s="115"/>
      <c r="P1289" s="127"/>
      <c r="Q1289" s="113"/>
      <c r="R1289" s="114"/>
      <c r="S1289" s="579"/>
      <c r="T1289" s="211"/>
    </row>
    <row r="1290" spans="1:20" s="212" customFormat="1" ht="124.5" customHeight="1" x14ac:dyDescent="0.35">
      <c r="A1290" s="576"/>
      <c r="B1290" s="600"/>
      <c r="C1290" s="114" t="s">
        <v>135</v>
      </c>
      <c r="D1290" s="116" t="s">
        <v>130</v>
      </c>
      <c r="E1290" s="114" t="s">
        <v>25</v>
      </c>
      <c r="F1290" s="114">
        <v>100</v>
      </c>
      <c r="G1290" s="114">
        <v>100</v>
      </c>
      <c r="H1290" s="509">
        <f t="shared" si="129"/>
        <v>100</v>
      </c>
      <c r="I1290" s="114"/>
      <c r="J1290" s="118"/>
      <c r="K1290" s="116"/>
      <c r="L1290" s="114"/>
      <c r="M1290" s="119"/>
      <c r="N1290" s="119"/>
      <c r="O1290" s="115"/>
      <c r="P1290" s="127"/>
      <c r="Q1290" s="113"/>
      <c r="R1290" s="114"/>
      <c r="S1290" s="579"/>
      <c r="T1290" s="211"/>
    </row>
    <row r="1291" spans="1:20" s="333" customFormat="1" ht="40.5" customHeight="1" x14ac:dyDescent="0.35">
      <c r="A1291" s="576"/>
      <c r="B1291" s="600"/>
      <c r="C1291" s="191"/>
      <c r="D1291" s="183" t="s">
        <v>6</v>
      </c>
      <c r="E1291" s="191"/>
      <c r="F1291" s="184"/>
      <c r="G1291" s="184"/>
      <c r="H1291" s="187"/>
      <c r="I1291" s="187">
        <f>(H1286+H1287+H1288+H1289+H1290)/5</f>
        <v>100</v>
      </c>
      <c r="J1291" s="182"/>
      <c r="K1291" s="183" t="s">
        <v>6</v>
      </c>
      <c r="L1291" s="184"/>
      <c r="M1291" s="188"/>
      <c r="N1291" s="188"/>
      <c r="O1291" s="187"/>
      <c r="P1291" s="187">
        <f>O1286</f>
        <v>101.81818181818181</v>
      </c>
      <c r="Q1291" s="187">
        <f>(I1291+P1291)/2</f>
        <v>100.90909090909091</v>
      </c>
      <c r="R1291" s="191" t="s">
        <v>31</v>
      </c>
      <c r="S1291" s="579"/>
      <c r="T1291" s="332"/>
    </row>
    <row r="1292" spans="1:20" s="212" customFormat="1" ht="40.5" customHeight="1" x14ac:dyDescent="0.35">
      <c r="A1292" s="576"/>
      <c r="B1292" s="600"/>
      <c r="C1292" s="502" t="s">
        <v>42</v>
      </c>
      <c r="D1292" s="146" t="s">
        <v>90</v>
      </c>
      <c r="E1292" s="114"/>
      <c r="F1292" s="114"/>
      <c r="G1292" s="114"/>
      <c r="H1292" s="113"/>
      <c r="I1292" s="113"/>
      <c r="J1292" s="502" t="s">
        <v>42</v>
      </c>
      <c r="K1292" s="146" t="s">
        <v>90</v>
      </c>
      <c r="L1292" s="114"/>
      <c r="M1292" s="119"/>
      <c r="N1292" s="119"/>
      <c r="O1292" s="113"/>
      <c r="P1292" s="127"/>
      <c r="Q1292" s="113"/>
      <c r="R1292" s="114"/>
      <c r="S1292" s="579"/>
      <c r="T1292" s="211"/>
    </row>
    <row r="1293" spans="1:20" s="212" customFormat="1" ht="40.5" customHeight="1" x14ac:dyDescent="0.35">
      <c r="A1293" s="576"/>
      <c r="B1293" s="600"/>
      <c r="C1293" s="114" t="s">
        <v>43</v>
      </c>
      <c r="D1293" s="116" t="s">
        <v>136</v>
      </c>
      <c r="E1293" s="114" t="s">
        <v>25</v>
      </c>
      <c r="F1293" s="114">
        <v>100</v>
      </c>
      <c r="G1293" s="114">
        <v>100</v>
      </c>
      <c r="H1293" s="509">
        <f t="shared" ref="H1293:H1294" si="130">IF(G1293/F1293*100&gt;100,100,G1293/F1293*100)</f>
        <v>100</v>
      </c>
      <c r="I1293" s="114"/>
      <c r="J1293" s="118" t="s">
        <v>43</v>
      </c>
      <c r="K1293" s="116" t="s">
        <v>89</v>
      </c>
      <c r="L1293" s="114" t="s">
        <v>38</v>
      </c>
      <c r="M1293" s="114">
        <v>25</v>
      </c>
      <c r="N1293" s="114">
        <v>25</v>
      </c>
      <c r="O1293" s="115">
        <f>IF(N1293/M1293*100&gt;110,110,N1293/M1293*100)</f>
        <v>100</v>
      </c>
      <c r="P1293" s="127"/>
      <c r="Q1293" s="113"/>
      <c r="R1293" s="114"/>
      <c r="S1293" s="579"/>
      <c r="T1293" s="211"/>
    </row>
    <row r="1294" spans="1:20" s="212" customFormat="1" ht="40.5" customHeight="1" x14ac:dyDescent="0.35">
      <c r="A1294" s="576"/>
      <c r="B1294" s="600"/>
      <c r="C1294" s="114" t="s">
        <v>137</v>
      </c>
      <c r="D1294" s="116" t="s">
        <v>138</v>
      </c>
      <c r="E1294" s="114" t="s">
        <v>25</v>
      </c>
      <c r="F1294" s="114">
        <v>90</v>
      </c>
      <c r="G1294" s="114">
        <v>90</v>
      </c>
      <c r="H1294" s="509">
        <f t="shared" si="130"/>
        <v>100</v>
      </c>
      <c r="I1294" s="114"/>
      <c r="J1294" s="118"/>
      <c r="K1294" s="116"/>
      <c r="L1294" s="114"/>
      <c r="M1294" s="119"/>
      <c r="N1294" s="119"/>
      <c r="O1294" s="115"/>
      <c r="P1294" s="127"/>
      <c r="Q1294" s="113"/>
      <c r="R1294" s="114"/>
      <c r="S1294" s="579"/>
      <c r="T1294" s="211"/>
    </row>
    <row r="1295" spans="1:20" s="212" customFormat="1" ht="40.5" customHeight="1" x14ac:dyDescent="0.35">
      <c r="A1295" s="576"/>
      <c r="B1295" s="600"/>
      <c r="C1295" s="191"/>
      <c r="D1295" s="183" t="s">
        <v>6</v>
      </c>
      <c r="E1295" s="191"/>
      <c r="F1295" s="184"/>
      <c r="G1295" s="184"/>
      <c r="H1295" s="187"/>
      <c r="I1295" s="187">
        <f>(H1293+H1294)/2</f>
        <v>100</v>
      </c>
      <c r="J1295" s="182"/>
      <c r="K1295" s="183" t="s">
        <v>6</v>
      </c>
      <c r="L1295" s="184"/>
      <c r="M1295" s="188"/>
      <c r="N1295" s="188"/>
      <c r="O1295" s="187"/>
      <c r="P1295" s="187">
        <f>O1293</f>
        <v>100</v>
      </c>
      <c r="Q1295" s="187">
        <f>(I1295+P1295)/2</f>
        <v>100</v>
      </c>
      <c r="R1295" s="191" t="s">
        <v>31</v>
      </c>
      <c r="S1295" s="579"/>
      <c r="T1295" s="211"/>
    </row>
    <row r="1296" spans="1:20" s="336" customFormat="1" ht="54.75" customHeight="1" x14ac:dyDescent="0.35">
      <c r="A1296" s="576"/>
      <c r="B1296" s="600"/>
      <c r="C1296" s="502" t="s">
        <v>164</v>
      </c>
      <c r="D1296" s="146" t="s">
        <v>211</v>
      </c>
      <c r="E1296" s="114"/>
      <c r="F1296" s="114"/>
      <c r="G1296" s="114"/>
      <c r="H1296" s="113"/>
      <c r="I1296" s="113"/>
      <c r="J1296" s="502" t="s">
        <v>164</v>
      </c>
      <c r="K1296" s="146" t="str">
        <f>D1296</f>
        <v>Реализация дополнительных общеразвивающих программ</v>
      </c>
      <c r="L1296" s="114"/>
      <c r="M1296" s="119"/>
      <c r="N1296" s="119"/>
      <c r="O1296" s="113"/>
      <c r="P1296" s="334"/>
      <c r="Q1296" s="113"/>
      <c r="R1296" s="114"/>
      <c r="S1296" s="579"/>
      <c r="T1296" s="335"/>
    </row>
    <row r="1297" spans="1:20" s="336" customFormat="1" ht="84.75" customHeight="1" x14ac:dyDescent="0.35">
      <c r="A1297" s="576"/>
      <c r="B1297" s="600"/>
      <c r="C1297" s="114" t="s">
        <v>165</v>
      </c>
      <c r="D1297" s="116" t="s">
        <v>138</v>
      </c>
      <c r="E1297" s="114" t="s">
        <v>25</v>
      </c>
      <c r="F1297" s="114">
        <v>90</v>
      </c>
      <c r="G1297" s="114">
        <v>90</v>
      </c>
      <c r="H1297" s="509">
        <f>IF(G1297/F1297*100&gt;100,100,G1297/F1297*100)</f>
        <v>100</v>
      </c>
      <c r="I1297" s="114"/>
      <c r="J1297" s="118" t="str">
        <f>C1297</f>
        <v>5.1.</v>
      </c>
      <c r="K1297" s="116" t="s">
        <v>469</v>
      </c>
      <c r="L1297" s="114" t="s">
        <v>339</v>
      </c>
      <c r="M1297" s="114">
        <v>51408</v>
      </c>
      <c r="N1297" s="114">
        <v>55363</v>
      </c>
      <c r="O1297" s="115">
        <f>IF(N1297/M1297*100&gt;110,110,N1297/M1297*100)</f>
        <v>107.69335511982572</v>
      </c>
      <c r="P1297" s="334"/>
      <c r="Q1297" s="113"/>
      <c r="R1297" s="114"/>
      <c r="S1297" s="579"/>
      <c r="T1297" s="335"/>
    </row>
    <row r="1298" spans="1:20" s="333" customFormat="1" ht="42" customHeight="1" x14ac:dyDescent="0.35">
      <c r="A1298" s="576"/>
      <c r="B1298" s="600"/>
      <c r="C1298" s="191"/>
      <c r="D1298" s="183" t="s">
        <v>6</v>
      </c>
      <c r="E1298" s="191"/>
      <c r="F1298" s="184"/>
      <c r="G1298" s="184"/>
      <c r="H1298" s="187"/>
      <c r="I1298" s="187">
        <f>H1297</f>
        <v>100</v>
      </c>
      <c r="J1298" s="182"/>
      <c r="K1298" s="183" t="s">
        <v>6</v>
      </c>
      <c r="L1298" s="184"/>
      <c r="M1298" s="188"/>
      <c r="N1298" s="188"/>
      <c r="O1298" s="187"/>
      <c r="P1298" s="187">
        <f>O1297</f>
        <v>107.69335511982572</v>
      </c>
      <c r="Q1298" s="187">
        <f>(I1298+P1298)/2</f>
        <v>103.84667755991286</v>
      </c>
      <c r="R1298" s="191" t="s">
        <v>31</v>
      </c>
      <c r="S1298" s="579"/>
      <c r="T1298" s="332"/>
    </row>
    <row r="1299" spans="1:20" s="212" customFormat="1" ht="62.25" customHeight="1" x14ac:dyDescent="0.35">
      <c r="A1299" s="576">
        <v>70</v>
      </c>
      <c r="B1299" s="600" t="s">
        <v>182</v>
      </c>
      <c r="C1299" s="502" t="s">
        <v>12</v>
      </c>
      <c r="D1299" s="146" t="s">
        <v>128</v>
      </c>
      <c r="E1299" s="502"/>
      <c r="F1299" s="502"/>
      <c r="G1299" s="502"/>
      <c r="H1299" s="113"/>
      <c r="I1299" s="113"/>
      <c r="J1299" s="502" t="s">
        <v>12</v>
      </c>
      <c r="K1299" s="146" t="s">
        <v>128</v>
      </c>
      <c r="L1299" s="114"/>
      <c r="M1299" s="114"/>
      <c r="N1299" s="114"/>
      <c r="O1299" s="113"/>
      <c r="P1299" s="127"/>
      <c r="Q1299" s="113"/>
      <c r="R1299" s="114"/>
      <c r="S1299" s="579" t="s">
        <v>280</v>
      </c>
      <c r="T1299" s="211"/>
    </row>
    <row r="1300" spans="1:20" s="212" customFormat="1" ht="75.75" customHeight="1" x14ac:dyDescent="0.35">
      <c r="A1300" s="576"/>
      <c r="B1300" s="600"/>
      <c r="C1300" s="114" t="s">
        <v>7</v>
      </c>
      <c r="D1300" s="116" t="s">
        <v>129</v>
      </c>
      <c r="E1300" s="114" t="s">
        <v>25</v>
      </c>
      <c r="F1300" s="114">
        <v>100</v>
      </c>
      <c r="G1300" s="114">
        <v>100</v>
      </c>
      <c r="H1300" s="509">
        <f t="shared" ref="H1300:H1304" si="131">IF(G1300/F1300*100&gt;100,100,G1300/F1300*100)</f>
        <v>100</v>
      </c>
      <c r="I1300" s="114"/>
      <c r="J1300" s="114" t="s">
        <v>7</v>
      </c>
      <c r="K1300" s="116" t="s">
        <v>89</v>
      </c>
      <c r="L1300" s="114" t="s">
        <v>38</v>
      </c>
      <c r="M1300" s="114">
        <v>217</v>
      </c>
      <c r="N1300" s="114">
        <v>210</v>
      </c>
      <c r="O1300" s="115">
        <f>IF(N1300/M1300*100&gt;110,110,N1300/M1300*100)</f>
        <v>96.774193548387103</v>
      </c>
      <c r="P1300" s="127"/>
      <c r="Q1300" s="113"/>
      <c r="R1300" s="114"/>
      <c r="S1300" s="579"/>
      <c r="T1300" s="211"/>
    </row>
    <row r="1301" spans="1:20" s="212" customFormat="1" x14ac:dyDescent="0.35">
      <c r="A1301" s="576"/>
      <c r="B1301" s="600"/>
      <c r="C1301" s="114" t="s">
        <v>8</v>
      </c>
      <c r="D1301" s="116" t="s">
        <v>561</v>
      </c>
      <c r="E1301" s="114" t="s">
        <v>25</v>
      </c>
      <c r="F1301" s="114">
        <v>100</v>
      </c>
      <c r="G1301" s="114">
        <v>100</v>
      </c>
      <c r="H1301" s="509">
        <f t="shared" si="131"/>
        <v>100</v>
      </c>
      <c r="I1301" s="114"/>
      <c r="J1301" s="114"/>
      <c r="K1301" s="503"/>
      <c r="L1301" s="114"/>
      <c r="M1301" s="117"/>
      <c r="N1301" s="117"/>
      <c r="O1301" s="115"/>
      <c r="P1301" s="127"/>
      <c r="Q1301" s="113"/>
      <c r="R1301" s="114"/>
      <c r="S1301" s="579"/>
      <c r="T1301" s="211"/>
    </row>
    <row r="1302" spans="1:20" s="212" customFormat="1" ht="47.25" customHeight="1" x14ac:dyDescent="0.35">
      <c r="A1302" s="576"/>
      <c r="B1302" s="600"/>
      <c r="C1302" s="114" t="s">
        <v>9</v>
      </c>
      <c r="D1302" s="116" t="s">
        <v>468</v>
      </c>
      <c r="E1302" s="114" t="s">
        <v>25</v>
      </c>
      <c r="F1302" s="114">
        <v>100</v>
      </c>
      <c r="G1302" s="114">
        <v>100</v>
      </c>
      <c r="H1302" s="509">
        <f t="shared" si="131"/>
        <v>100</v>
      </c>
      <c r="I1302" s="114"/>
      <c r="J1302" s="118"/>
      <c r="K1302" s="116"/>
      <c r="L1302" s="114"/>
      <c r="M1302" s="119"/>
      <c r="N1302" s="119"/>
      <c r="O1302" s="115"/>
      <c r="P1302" s="127"/>
      <c r="Q1302" s="113"/>
      <c r="R1302" s="114"/>
      <c r="S1302" s="579"/>
      <c r="T1302" s="211"/>
    </row>
    <row r="1303" spans="1:20" s="212" customFormat="1" ht="82.5" customHeight="1" x14ac:dyDescent="0.35">
      <c r="A1303" s="576"/>
      <c r="B1303" s="600"/>
      <c r="C1303" s="114" t="s">
        <v>10</v>
      </c>
      <c r="D1303" s="116" t="s">
        <v>88</v>
      </c>
      <c r="E1303" s="114" t="s">
        <v>25</v>
      </c>
      <c r="F1303" s="114">
        <v>90</v>
      </c>
      <c r="G1303" s="114">
        <v>100</v>
      </c>
      <c r="H1303" s="509">
        <f t="shared" si="131"/>
        <v>100</v>
      </c>
      <c r="I1303" s="114"/>
      <c r="J1303" s="118"/>
      <c r="K1303" s="116"/>
      <c r="L1303" s="114"/>
      <c r="M1303" s="119"/>
      <c r="N1303" s="119"/>
      <c r="O1303" s="115"/>
      <c r="P1303" s="127"/>
      <c r="Q1303" s="113"/>
      <c r="R1303" s="114"/>
      <c r="S1303" s="579"/>
      <c r="T1303" s="211"/>
    </row>
    <row r="1304" spans="1:20" s="212" customFormat="1" ht="135.75" customHeight="1" x14ac:dyDescent="0.35">
      <c r="A1304" s="576"/>
      <c r="B1304" s="600"/>
      <c r="C1304" s="114" t="s">
        <v>35</v>
      </c>
      <c r="D1304" s="116" t="s">
        <v>130</v>
      </c>
      <c r="E1304" s="114" t="s">
        <v>25</v>
      </c>
      <c r="F1304" s="114">
        <v>100</v>
      </c>
      <c r="G1304" s="114">
        <v>100</v>
      </c>
      <c r="H1304" s="509">
        <f t="shared" si="131"/>
        <v>100</v>
      </c>
      <c r="I1304" s="114"/>
      <c r="J1304" s="118"/>
      <c r="K1304" s="116"/>
      <c r="L1304" s="114"/>
      <c r="M1304" s="119"/>
      <c r="N1304" s="119"/>
      <c r="O1304" s="115"/>
      <c r="P1304" s="127"/>
      <c r="Q1304" s="113"/>
      <c r="R1304" s="114"/>
      <c r="S1304" s="579"/>
      <c r="T1304" s="211"/>
    </row>
    <row r="1305" spans="1:20" s="333" customFormat="1" ht="40.5" customHeight="1" x14ac:dyDescent="0.35">
      <c r="A1305" s="576"/>
      <c r="B1305" s="600"/>
      <c r="C1305" s="191"/>
      <c r="D1305" s="183" t="s">
        <v>6</v>
      </c>
      <c r="E1305" s="191"/>
      <c r="F1305" s="184"/>
      <c r="G1305" s="184"/>
      <c r="H1305" s="187"/>
      <c r="I1305" s="187">
        <f>(H1300+H1301+H1302+H1303+H1304)/5</f>
        <v>100</v>
      </c>
      <c r="J1305" s="182"/>
      <c r="K1305" s="183" t="s">
        <v>6</v>
      </c>
      <c r="L1305" s="184"/>
      <c r="M1305" s="188"/>
      <c r="N1305" s="188"/>
      <c r="O1305" s="187"/>
      <c r="P1305" s="187">
        <f>O1300</f>
        <v>96.774193548387103</v>
      </c>
      <c r="Q1305" s="187">
        <f>(I1305+P1305)/2</f>
        <v>98.387096774193552</v>
      </c>
      <c r="R1305" s="191" t="s">
        <v>361</v>
      </c>
      <c r="S1305" s="579"/>
      <c r="T1305" s="332"/>
    </row>
    <row r="1306" spans="1:20" s="212" customFormat="1" ht="59.25" customHeight="1" x14ac:dyDescent="0.35">
      <c r="A1306" s="576"/>
      <c r="B1306" s="600"/>
      <c r="C1306" s="502" t="s">
        <v>13</v>
      </c>
      <c r="D1306" s="146" t="s">
        <v>131</v>
      </c>
      <c r="E1306" s="114"/>
      <c r="F1306" s="114"/>
      <c r="G1306" s="114"/>
      <c r="H1306" s="113"/>
      <c r="I1306" s="113"/>
      <c r="J1306" s="502" t="s">
        <v>13</v>
      </c>
      <c r="K1306" s="146" t="s">
        <v>131</v>
      </c>
      <c r="L1306" s="114"/>
      <c r="M1306" s="119"/>
      <c r="N1306" s="119"/>
      <c r="O1306" s="113"/>
      <c r="P1306" s="127"/>
      <c r="Q1306" s="113"/>
      <c r="R1306" s="114"/>
      <c r="S1306" s="579"/>
      <c r="T1306" s="211"/>
    </row>
    <row r="1307" spans="1:20" s="212" customFormat="1" ht="79.5" customHeight="1" x14ac:dyDescent="0.35">
      <c r="A1307" s="576"/>
      <c r="B1307" s="600"/>
      <c r="C1307" s="114" t="s">
        <v>14</v>
      </c>
      <c r="D1307" s="116" t="s">
        <v>132</v>
      </c>
      <c r="E1307" s="114" t="s">
        <v>25</v>
      </c>
      <c r="F1307" s="114">
        <v>100</v>
      </c>
      <c r="G1307" s="114">
        <v>100</v>
      </c>
      <c r="H1307" s="509">
        <f t="shared" ref="H1307:H1311" si="132">IF(G1307/F1307*100&gt;100,100,G1307/F1307*100)</f>
        <v>100</v>
      </c>
      <c r="I1307" s="114"/>
      <c r="J1307" s="118" t="s">
        <v>14</v>
      </c>
      <c r="K1307" s="116" t="s">
        <v>89</v>
      </c>
      <c r="L1307" s="114" t="s">
        <v>38</v>
      </c>
      <c r="M1307" s="114">
        <v>283</v>
      </c>
      <c r="N1307" s="114">
        <v>285</v>
      </c>
      <c r="O1307" s="115">
        <f>IF(N1307/M1307*100&gt;110,110,N1307/M1307*100)</f>
        <v>100.70671378091873</v>
      </c>
      <c r="P1307" s="114"/>
      <c r="Q1307" s="113"/>
      <c r="R1307" s="114"/>
      <c r="S1307" s="579"/>
      <c r="T1307" s="211"/>
    </row>
    <row r="1308" spans="1:20" s="212" customFormat="1" x14ac:dyDescent="0.35">
      <c r="A1308" s="576"/>
      <c r="B1308" s="600"/>
      <c r="C1308" s="114" t="s">
        <v>15</v>
      </c>
      <c r="D1308" s="116" t="s">
        <v>559</v>
      </c>
      <c r="E1308" s="114" t="s">
        <v>25</v>
      </c>
      <c r="F1308" s="114">
        <v>100</v>
      </c>
      <c r="G1308" s="114">
        <v>100</v>
      </c>
      <c r="H1308" s="509">
        <f t="shared" si="132"/>
        <v>100</v>
      </c>
      <c r="I1308" s="114"/>
      <c r="J1308" s="118"/>
      <c r="K1308" s="116"/>
      <c r="L1308" s="114"/>
      <c r="M1308" s="119"/>
      <c r="N1308" s="119"/>
      <c r="O1308" s="115"/>
      <c r="P1308" s="127"/>
      <c r="Q1308" s="113"/>
      <c r="R1308" s="114"/>
      <c r="S1308" s="579"/>
      <c r="T1308" s="211"/>
    </row>
    <row r="1309" spans="1:20" s="212" customFormat="1" ht="48.75" customHeight="1" x14ac:dyDescent="0.35">
      <c r="A1309" s="576"/>
      <c r="B1309" s="600"/>
      <c r="C1309" s="114" t="s">
        <v>39</v>
      </c>
      <c r="D1309" s="116" t="s">
        <v>468</v>
      </c>
      <c r="E1309" s="114" t="s">
        <v>25</v>
      </c>
      <c r="F1309" s="114">
        <v>100</v>
      </c>
      <c r="G1309" s="114">
        <v>100</v>
      </c>
      <c r="H1309" s="509">
        <f t="shared" si="132"/>
        <v>100</v>
      </c>
      <c r="I1309" s="114"/>
      <c r="J1309" s="118"/>
      <c r="K1309" s="116"/>
      <c r="L1309" s="114"/>
      <c r="M1309" s="119"/>
      <c r="N1309" s="119"/>
      <c r="O1309" s="115"/>
      <c r="P1309" s="127"/>
      <c r="Q1309" s="113"/>
      <c r="R1309" s="114"/>
      <c r="S1309" s="579"/>
      <c r="T1309" s="211"/>
    </row>
    <row r="1310" spans="1:20" s="212" customFormat="1" ht="73.5" customHeight="1" x14ac:dyDescent="0.35">
      <c r="A1310" s="576"/>
      <c r="B1310" s="600"/>
      <c r="C1310" s="114" t="s">
        <v>45</v>
      </c>
      <c r="D1310" s="116" t="s">
        <v>88</v>
      </c>
      <c r="E1310" s="114" t="s">
        <v>25</v>
      </c>
      <c r="F1310" s="114">
        <v>90</v>
      </c>
      <c r="G1310" s="114">
        <v>100</v>
      </c>
      <c r="H1310" s="509">
        <f t="shared" si="132"/>
        <v>100</v>
      </c>
      <c r="I1310" s="114"/>
      <c r="J1310" s="118"/>
      <c r="K1310" s="116"/>
      <c r="L1310" s="114"/>
      <c r="M1310" s="119"/>
      <c r="N1310" s="119"/>
      <c r="O1310" s="115"/>
      <c r="P1310" s="127"/>
      <c r="Q1310" s="113"/>
      <c r="R1310" s="114"/>
      <c r="S1310" s="579"/>
      <c r="T1310" s="211"/>
    </row>
    <row r="1311" spans="1:20" s="212" customFormat="1" ht="130.5" customHeight="1" x14ac:dyDescent="0.35">
      <c r="A1311" s="576"/>
      <c r="B1311" s="600"/>
      <c r="C1311" s="114" t="s">
        <v>66</v>
      </c>
      <c r="D1311" s="116" t="s">
        <v>130</v>
      </c>
      <c r="E1311" s="114" t="s">
        <v>25</v>
      </c>
      <c r="F1311" s="114">
        <v>100</v>
      </c>
      <c r="G1311" s="114">
        <v>100</v>
      </c>
      <c r="H1311" s="509">
        <f t="shared" si="132"/>
        <v>100</v>
      </c>
      <c r="I1311" s="114"/>
      <c r="J1311" s="118"/>
      <c r="K1311" s="116"/>
      <c r="L1311" s="114"/>
      <c r="M1311" s="119"/>
      <c r="N1311" s="119"/>
      <c r="O1311" s="115"/>
      <c r="P1311" s="127"/>
      <c r="Q1311" s="113"/>
      <c r="R1311" s="114"/>
      <c r="S1311" s="579"/>
      <c r="T1311" s="211"/>
    </row>
    <row r="1312" spans="1:20" s="124" customFormat="1" ht="40.5" customHeight="1" x14ac:dyDescent="0.35">
      <c r="A1312" s="576"/>
      <c r="B1312" s="600"/>
      <c r="C1312" s="191"/>
      <c r="D1312" s="183" t="s">
        <v>6</v>
      </c>
      <c r="E1312" s="191"/>
      <c r="F1312" s="184"/>
      <c r="G1312" s="184"/>
      <c r="H1312" s="187"/>
      <c r="I1312" s="187">
        <f>(H1307+H1308+H1309+H1310+H1311)/5</f>
        <v>100</v>
      </c>
      <c r="J1312" s="182"/>
      <c r="K1312" s="183" t="s">
        <v>6</v>
      </c>
      <c r="L1312" s="184"/>
      <c r="M1312" s="188"/>
      <c r="N1312" s="188"/>
      <c r="O1312" s="187"/>
      <c r="P1312" s="187">
        <f>O1307</f>
        <v>100.70671378091873</v>
      </c>
      <c r="Q1312" s="187">
        <f>(I1312+P1312)/2</f>
        <v>100.35335689045937</v>
      </c>
      <c r="R1312" s="191" t="s">
        <v>31</v>
      </c>
      <c r="S1312" s="579"/>
      <c r="T1312" s="123"/>
    </row>
    <row r="1313" spans="1:20" s="212" customFormat="1" ht="57.75" customHeight="1" x14ac:dyDescent="0.35">
      <c r="A1313" s="576"/>
      <c r="B1313" s="600"/>
      <c r="C1313" s="502" t="s">
        <v>28</v>
      </c>
      <c r="D1313" s="146" t="s">
        <v>133</v>
      </c>
      <c r="E1313" s="114"/>
      <c r="F1313" s="114"/>
      <c r="G1313" s="114"/>
      <c r="H1313" s="113"/>
      <c r="I1313" s="113"/>
      <c r="J1313" s="502" t="s">
        <v>28</v>
      </c>
      <c r="K1313" s="146" t="str">
        <f>D1313</f>
        <v>Реализация основных общеобразовательных программ среднего общего образования</v>
      </c>
      <c r="L1313" s="114"/>
      <c r="M1313" s="119"/>
      <c r="N1313" s="119"/>
      <c r="O1313" s="113"/>
      <c r="P1313" s="127"/>
      <c r="Q1313" s="113"/>
      <c r="R1313" s="114"/>
      <c r="S1313" s="579"/>
      <c r="T1313" s="211"/>
    </row>
    <row r="1314" spans="1:20" s="212" customFormat="1" ht="74.25" customHeight="1" x14ac:dyDescent="0.35">
      <c r="A1314" s="576"/>
      <c r="B1314" s="600"/>
      <c r="C1314" s="114" t="s">
        <v>29</v>
      </c>
      <c r="D1314" s="116" t="s">
        <v>134</v>
      </c>
      <c r="E1314" s="114" t="s">
        <v>25</v>
      </c>
      <c r="F1314" s="114">
        <v>100</v>
      </c>
      <c r="G1314" s="114">
        <v>100</v>
      </c>
      <c r="H1314" s="509">
        <f t="shared" ref="H1314:H1318" si="133">IF(G1314/F1314*100&gt;100,100,G1314/F1314*100)</f>
        <v>100</v>
      </c>
      <c r="I1314" s="114"/>
      <c r="J1314" s="118" t="s">
        <v>29</v>
      </c>
      <c r="K1314" s="116" t="s">
        <v>89</v>
      </c>
      <c r="L1314" s="114" t="s">
        <v>38</v>
      </c>
      <c r="M1314" s="114">
        <v>41</v>
      </c>
      <c r="N1314" s="114">
        <v>41</v>
      </c>
      <c r="O1314" s="115">
        <f>IF(N1314/M1314*100&gt;110,110,N1314/M1314*100)</f>
        <v>100</v>
      </c>
      <c r="P1314" s="114"/>
      <c r="Q1314" s="113"/>
      <c r="R1314" s="114"/>
      <c r="S1314" s="579"/>
      <c r="T1314" s="211"/>
    </row>
    <row r="1315" spans="1:20" s="212" customFormat="1" x14ac:dyDescent="0.35">
      <c r="A1315" s="576"/>
      <c r="B1315" s="600"/>
      <c r="C1315" s="114" t="s">
        <v>30</v>
      </c>
      <c r="D1315" s="116" t="s">
        <v>560</v>
      </c>
      <c r="E1315" s="114" t="s">
        <v>25</v>
      </c>
      <c r="F1315" s="114">
        <v>100</v>
      </c>
      <c r="G1315" s="114">
        <v>100</v>
      </c>
      <c r="H1315" s="509">
        <f t="shared" si="133"/>
        <v>100</v>
      </c>
      <c r="I1315" s="114"/>
      <c r="J1315" s="118"/>
      <c r="K1315" s="116"/>
      <c r="L1315" s="114"/>
      <c r="M1315" s="119"/>
      <c r="N1315" s="119"/>
      <c r="O1315" s="115"/>
      <c r="P1315" s="127"/>
      <c r="Q1315" s="113"/>
      <c r="R1315" s="114"/>
      <c r="S1315" s="579"/>
      <c r="T1315" s="211"/>
    </row>
    <row r="1316" spans="1:20" s="212" customFormat="1" ht="57" customHeight="1" x14ac:dyDescent="0.35">
      <c r="A1316" s="576"/>
      <c r="B1316" s="600"/>
      <c r="C1316" s="114" t="s">
        <v>52</v>
      </c>
      <c r="D1316" s="116" t="s">
        <v>468</v>
      </c>
      <c r="E1316" s="114" t="s">
        <v>25</v>
      </c>
      <c r="F1316" s="114">
        <v>100</v>
      </c>
      <c r="G1316" s="114">
        <v>100</v>
      </c>
      <c r="H1316" s="509">
        <f t="shared" si="133"/>
        <v>100</v>
      </c>
      <c r="I1316" s="114"/>
      <c r="J1316" s="118"/>
      <c r="K1316" s="116"/>
      <c r="L1316" s="114"/>
      <c r="M1316" s="119"/>
      <c r="N1316" s="119"/>
      <c r="O1316" s="115"/>
      <c r="P1316" s="127"/>
      <c r="Q1316" s="113"/>
      <c r="R1316" s="114"/>
      <c r="S1316" s="579"/>
      <c r="T1316" s="211"/>
    </row>
    <row r="1317" spans="1:20" s="212" customFormat="1" ht="67.5" customHeight="1" x14ac:dyDescent="0.35">
      <c r="A1317" s="576"/>
      <c r="B1317" s="600"/>
      <c r="C1317" s="114" t="s">
        <v>53</v>
      </c>
      <c r="D1317" s="116" t="s">
        <v>88</v>
      </c>
      <c r="E1317" s="114" t="s">
        <v>25</v>
      </c>
      <c r="F1317" s="114">
        <v>90</v>
      </c>
      <c r="G1317" s="114">
        <v>100</v>
      </c>
      <c r="H1317" s="509">
        <f t="shared" si="133"/>
        <v>100</v>
      </c>
      <c r="I1317" s="114"/>
      <c r="J1317" s="118"/>
      <c r="K1317" s="116"/>
      <c r="L1317" s="114"/>
      <c r="M1317" s="119"/>
      <c r="N1317" s="119"/>
      <c r="O1317" s="115"/>
      <c r="P1317" s="127"/>
      <c r="Q1317" s="113"/>
      <c r="R1317" s="114"/>
      <c r="S1317" s="579"/>
      <c r="T1317" s="211"/>
    </row>
    <row r="1318" spans="1:20" s="212" customFormat="1" ht="125.25" customHeight="1" x14ac:dyDescent="0.35">
      <c r="A1318" s="576"/>
      <c r="B1318" s="600"/>
      <c r="C1318" s="114" t="s">
        <v>135</v>
      </c>
      <c r="D1318" s="116" t="s">
        <v>130</v>
      </c>
      <c r="E1318" s="114" t="s">
        <v>25</v>
      </c>
      <c r="F1318" s="114">
        <v>100</v>
      </c>
      <c r="G1318" s="114">
        <v>100</v>
      </c>
      <c r="H1318" s="509">
        <f t="shared" si="133"/>
        <v>100</v>
      </c>
      <c r="I1318" s="114"/>
      <c r="J1318" s="118"/>
      <c r="K1318" s="116"/>
      <c r="L1318" s="114"/>
      <c r="M1318" s="119"/>
      <c r="N1318" s="119"/>
      <c r="O1318" s="115"/>
      <c r="P1318" s="127"/>
      <c r="Q1318" s="113"/>
      <c r="R1318" s="114"/>
      <c r="S1318" s="579"/>
      <c r="T1318" s="211"/>
    </row>
    <row r="1319" spans="1:20" s="333" customFormat="1" ht="40.5" customHeight="1" x14ac:dyDescent="0.35">
      <c r="A1319" s="576"/>
      <c r="B1319" s="600"/>
      <c r="C1319" s="191"/>
      <c r="D1319" s="183" t="s">
        <v>6</v>
      </c>
      <c r="E1319" s="191"/>
      <c r="F1319" s="184"/>
      <c r="G1319" s="184"/>
      <c r="H1319" s="187"/>
      <c r="I1319" s="187">
        <f>(H1314+H1315+H1316+H1317+H1318)/5</f>
        <v>100</v>
      </c>
      <c r="J1319" s="182"/>
      <c r="K1319" s="183" t="s">
        <v>6</v>
      </c>
      <c r="L1319" s="184"/>
      <c r="M1319" s="188"/>
      <c r="N1319" s="188"/>
      <c r="O1319" s="187"/>
      <c r="P1319" s="187">
        <f>O1314</f>
        <v>100</v>
      </c>
      <c r="Q1319" s="187">
        <f>(I1319+P1319)/2</f>
        <v>100</v>
      </c>
      <c r="R1319" s="191" t="s">
        <v>31</v>
      </c>
      <c r="S1319" s="579"/>
      <c r="T1319" s="332"/>
    </row>
    <row r="1320" spans="1:20" s="212" customFormat="1" x14ac:dyDescent="0.35">
      <c r="A1320" s="576"/>
      <c r="B1320" s="600"/>
      <c r="C1320" s="502" t="s">
        <v>42</v>
      </c>
      <c r="D1320" s="146" t="s">
        <v>90</v>
      </c>
      <c r="E1320" s="114"/>
      <c r="F1320" s="114"/>
      <c r="G1320" s="114"/>
      <c r="H1320" s="113"/>
      <c r="I1320" s="113"/>
      <c r="J1320" s="502" t="s">
        <v>42</v>
      </c>
      <c r="K1320" s="146" t="s">
        <v>90</v>
      </c>
      <c r="L1320" s="114"/>
      <c r="M1320" s="119"/>
      <c r="N1320" s="119"/>
      <c r="O1320" s="113"/>
      <c r="P1320" s="127"/>
      <c r="Q1320" s="113"/>
      <c r="R1320" s="114"/>
      <c r="S1320" s="579"/>
      <c r="T1320" s="211"/>
    </row>
    <row r="1321" spans="1:20" s="212" customFormat="1" ht="47.25" customHeight="1" x14ac:dyDescent="0.35">
      <c r="A1321" s="576"/>
      <c r="B1321" s="600"/>
      <c r="C1321" s="114" t="s">
        <v>43</v>
      </c>
      <c r="D1321" s="116" t="s">
        <v>136</v>
      </c>
      <c r="E1321" s="114" t="s">
        <v>25</v>
      </c>
      <c r="F1321" s="114">
        <v>100</v>
      </c>
      <c r="G1321" s="114">
        <v>100</v>
      </c>
      <c r="H1321" s="509">
        <f t="shared" ref="H1321:H1322" si="134">IF(G1321/F1321*100&gt;100,100,G1321/F1321*100)</f>
        <v>100</v>
      </c>
      <c r="I1321" s="114"/>
      <c r="J1321" s="118" t="s">
        <v>43</v>
      </c>
      <c r="K1321" s="116" t="s">
        <v>89</v>
      </c>
      <c r="L1321" s="114" t="s">
        <v>38</v>
      </c>
      <c r="M1321" s="114">
        <v>53</v>
      </c>
      <c r="N1321" s="114">
        <v>53</v>
      </c>
      <c r="O1321" s="115">
        <f>IF(N1321/M1321*100&gt;110,110,N1321/M1321*100)</f>
        <v>100</v>
      </c>
      <c r="P1321" s="127"/>
      <c r="Q1321" s="113"/>
      <c r="R1321" s="114"/>
      <c r="S1321" s="579"/>
      <c r="T1321" s="211"/>
    </row>
    <row r="1322" spans="1:20" s="212" customFormat="1" ht="78.75" customHeight="1" x14ac:dyDescent="0.35">
      <c r="A1322" s="576"/>
      <c r="B1322" s="600"/>
      <c r="C1322" s="114" t="s">
        <v>137</v>
      </c>
      <c r="D1322" s="116" t="s">
        <v>138</v>
      </c>
      <c r="E1322" s="114" t="s">
        <v>25</v>
      </c>
      <c r="F1322" s="114">
        <v>90</v>
      </c>
      <c r="G1322" s="114">
        <v>90</v>
      </c>
      <c r="H1322" s="509">
        <f t="shared" si="134"/>
        <v>100</v>
      </c>
      <c r="I1322" s="114"/>
      <c r="J1322" s="118"/>
      <c r="K1322" s="116"/>
      <c r="L1322" s="114"/>
      <c r="M1322" s="119"/>
      <c r="N1322" s="119"/>
      <c r="O1322" s="115"/>
      <c r="P1322" s="127"/>
      <c r="Q1322" s="113"/>
      <c r="R1322" s="114"/>
      <c r="S1322" s="579"/>
      <c r="T1322" s="211"/>
    </row>
    <row r="1323" spans="1:20" s="124" customFormat="1" ht="40.5" customHeight="1" x14ac:dyDescent="0.35">
      <c r="A1323" s="576"/>
      <c r="B1323" s="600"/>
      <c r="C1323" s="191"/>
      <c r="D1323" s="183" t="s">
        <v>6</v>
      </c>
      <c r="E1323" s="191"/>
      <c r="F1323" s="184"/>
      <c r="G1323" s="184"/>
      <c r="H1323" s="187"/>
      <c r="I1323" s="187">
        <f>(H1321+H1322)/2</f>
        <v>100</v>
      </c>
      <c r="J1323" s="182"/>
      <c r="K1323" s="183" t="s">
        <v>6</v>
      </c>
      <c r="L1323" s="184"/>
      <c r="M1323" s="188"/>
      <c r="N1323" s="188"/>
      <c r="O1323" s="187"/>
      <c r="P1323" s="187">
        <f>O1321</f>
        <v>100</v>
      </c>
      <c r="Q1323" s="187">
        <f>(I1323+P1323)/2</f>
        <v>100</v>
      </c>
      <c r="R1323" s="191" t="s">
        <v>31</v>
      </c>
      <c r="S1323" s="579"/>
      <c r="T1323" s="123"/>
    </row>
    <row r="1324" spans="1:20" s="212" customFormat="1" ht="60.75" customHeight="1" x14ac:dyDescent="0.35">
      <c r="A1324" s="576"/>
      <c r="B1324" s="600"/>
      <c r="C1324" s="502" t="s">
        <v>164</v>
      </c>
      <c r="D1324" s="146" t="s">
        <v>211</v>
      </c>
      <c r="E1324" s="114"/>
      <c r="F1324" s="114"/>
      <c r="G1324" s="114"/>
      <c r="H1324" s="113"/>
      <c r="I1324" s="113"/>
      <c r="J1324" s="502" t="s">
        <v>164</v>
      </c>
      <c r="K1324" s="146" t="str">
        <f>D1324</f>
        <v>Реализация дополнительных общеразвивающих программ</v>
      </c>
      <c r="L1324" s="114"/>
      <c r="M1324" s="119"/>
      <c r="N1324" s="119"/>
      <c r="O1324" s="113"/>
      <c r="P1324" s="127"/>
      <c r="Q1324" s="113"/>
      <c r="R1324" s="502"/>
      <c r="S1324" s="579"/>
      <c r="T1324" s="211"/>
    </row>
    <row r="1325" spans="1:20" s="212" customFormat="1" ht="80.25" customHeight="1" x14ac:dyDescent="0.35">
      <c r="A1325" s="576"/>
      <c r="B1325" s="600"/>
      <c r="C1325" s="114" t="s">
        <v>165</v>
      </c>
      <c r="D1325" s="116" t="s">
        <v>138</v>
      </c>
      <c r="E1325" s="114" t="s">
        <v>25</v>
      </c>
      <c r="F1325" s="114">
        <v>90</v>
      </c>
      <c r="G1325" s="114">
        <v>90</v>
      </c>
      <c r="H1325" s="509">
        <f>IF(G1325/F1325*100&gt;100,100,G1325/F1325*100)</f>
        <v>100</v>
      </c>
      <c r="I1325" s="114"/>
      <c r="J1325" s="118" t="str">
        <f>C1325</f>
        <v>5.1.</v>
      </c>
      <c r="K1325" s="116" t="s">
        <v>469</v>
      </c>
      <c r="L1325" s="114" t="s">
        <v>339</v>
      </c>
      <c r="M1325" s="114">
        <v>36720</v>
      </c>
      <c r="N1325" s="114">
        <v>36923</v>
      </c>
      <c r="O1325" s="115">
        <f>IF(N1325/M1325*100&gt;110,110,N1325/M1325*100)</f>
        <v>100.5528322440087</v>
      </c>
      <c r="P1325" s="127"/>
      <c r="Q1325" s="113"/>
      <c r="R1325" s="114"/>
      <c r="S1325" s="579"/>
      <c r="T1325" s="211"/>
    </row>
    <row r="1326" spans="1:20" s="124" customFormat="1" ht="39" customHeight="1" x14ac:dyDescent="0.35">
      <c r="A1326" s="576"/>
      <c r="B1326" s="600"/>
      <c r="C1326" s="191"/>
      <c r="D1326" s="183" t="s">
        <v>6</v>
      </c>
      <c r="E1326" s="191"/>
      <c r="F1326" s="184"/>
      <c r="G1326" s="184"/>
      <c r="H1326" s="187"/>
      <c r="I1326" s="187">
        <f>H1325</f>
        <v>100</v>
      </c>
      <c r="J1326" s="182"/>
      <c r="K1326" s="183" t="s">
        <v>6</v>
      </c>
      <c r="L1326" s="184"/>
      <c r="M1326" s="188"/>
      <c r="N1326" s="188"/>
      <c r="O1326" s="187"/>
      <c r="P1326" s="187">
        <f>O1325</f>
        <v>100.5528322440087</v>
      </c>
      <c r="Q1326" s="187">
        <f>(I1326+P1326)/2</f>
        <v>100.27641612200435</v>
      </c>
      <c r="R1326" s="191" t="s">
        <v>31</v>
      </c>
      <c r="S1326" s="579"/>
      <c r="T1326" s="123"/>
    </row>
    <row r="1327" spans="1:20" s="212" customFormat="1" ht="63.75" customHeight="1" x14ac:dyDescent="0.35">
      <c r="A1327" s="576">
        <v>71</v>
      </c>
      <c r="B1327" s="600" t="s">
        <v>183</v>
      </c>
      <c r="C1327" s="502" t="s">
        <v>12</v>
      </c>
      <c r="D1327" s="146" t="s">
        <v>128</v>
      </c>
      <c r="E1327" s="502"/>
      <c r="F1327" s="502"/>
      <c r="G1327" s="502"/>
      <c r="H1327" s="113"/>
      <c r="I1327" s="113"/>
      <c r="J1327" s="502" t="s">
        <v>12</v>
      </c>
      <c r="K1327" s="146" t="s">
        <v>128</v>
      </c>
      <c r="L1327" s="114"/>
      <c r="M1327" s="114"/>
      <c r="N1327" s="114"/>
      <c r="O1327" s="113"/>
      <c r="P1327" s="127"/>
      <c r="Q1327" s="113"/>
      <c r="R1327" s="114"/>
      <c r="S1327" s="579" t="s">
        <v>279</v>
      </c>
      <c r="T1327" s="211"/>
    </row>
    <row r="1328" spans="1:20" s="212" customFormat="1" ht="80.25" customHeight="1" x14ac:dyDescent="0.35">
      <c r="A1328" s="576"/>
      <c r="B1328" s="600"/>
      <c r="C1328" s="114" t="s">
        <v>7</v>
      </c>
      <c r="D1328" s="116" t="s">
        <v>129</v>
      </c>
      <c r="E1328" s="114" t="s">
        <v>25</v>
      </c>
      <c r="F1328" s="114">
        <v>100</v>
      </c>
      <c r="G1328" s="114">
        <v>100</v>
      </c>
      <c r="H1328" s="509">
        <f t="shared" ref="H1328:H1332" si="135">IF(G1328/F1328*100&gt;100,100,G1328/F1328*100)</f>
        <v>100</v>
      </c>
      <c r="I1328" s="114"/>
      <c r="J1328" s="114" t="s">
        <v>7</v>
      </c>
      <c r="K1328" s="116" t="s">
        <v>89</v>
      </c>
      <c r="L1328" s="114" t="s">
        <v>38</v>
      </c>
      <c r="M1328" s="114">
        <v>342</v>
      </c>
      <c r="N1328" s="114">
        <v>344</v>
      </c>
      <c r="O1328" s="115">
        <f>IF(N1328/M1328*100&gt;110,110,N1328/M1328*100)</f>
        <v>100.58479532163742</v>
      </c>
      <c r="P1328" s="127"/>
      <c r="Q1328" s="113"/>
      <c r="R1328" s="114"/>
      <c r="S1328" s="579"/>
      <c r="T1328" s="211"/>
    </row>
    <row r="1329" spans="1:20" s="212" customFormat="1" x14ac:dyDescent="0.35">
      <c r="A1329" s="576"/>
      <c r="B1329" s="600"/>
      <c r="C1329" s="114" t="s">
        <v>8</v>
      </c>
      <c r="D1329" s="116" t="s">
        <v>561</v>
      </c>
      <c r="E1329" s="114" t="s">
        <v>25</v>
      </c>
      <c r="F1329" s="114">
        <v>100</v>
      </c>
      <c r="G1329" s="114">
        <v>100</v>
      </c>
      <c r="H1329" s="509">
        <f t="shared" si="135"/>
        <v>100</v>
      </c>
      <c r="I1329" s="114"/>
      <c r="J1329" s="114"/>
      <c r="K1329" s="503"/>
      <c r="L1329" s="114"/>
      <c r="M1329" s="117"/>
      <c r="N1329" s="117"/>
      <c r="O1329" s="115"/>
      <c r="P1329" s="127"/>
      <c r="Q1329" s="113"/>
      <c r="R1329" s="114"/>
      <c r="S1329" s="579"/>
      <c r="T1329" s="211"/>
    </row>
    <row r="1330" spans="1:20" s="212" customFormat="1" ht="48.75" customHeight="1" x14ac:dyDescent="0.35">
      <c r="A1330" s="576"/>
      <c r="B1330" s="600"/>
      <c r="C1330" s="114" t="s">
        <v>9</v>
      </c>
      <c r="D1330" s="116" t="s">
        <v>468</v>
      </c>
      <c r="E1330" s="114" t="s">
        <v>25</v>
      </c>
      <c r="F1330" s="114">
        <v>100</v>
      </c>
      <c r="G1330" s="114">
        <v>100</v>
      </c>
      <c r="H1330" s="509">
        <f t="shared" si="135"/>
        <v>100</v>
      </c>
      <c r="I1330" s="114"/>
      <c r="J1330" s="118"/>
      <c r="K1330" s="116"/>
      <c r="L1330" s="114"/>
      <c r="M1330" s="119"/>
      <c r="N1330" s="119"/>
      <c r="O1330" s="115"/>
      <c r="P1330" s="127"/>
      <c r="Q1330" s="113"/>
      <c r="R1330" s="114"/>
      <c r="S1330" s="579"/>
      <c r="T1330" s="211"/>
    </row>
    <row r="1331" spans="1:20" s="212" customFormat="1" ht="78.75" customHeight="1" x14ac:dyDescent="0.35">
      <c r="A1331" s="576"/>
      <c r="B1331" s="600"/>
      <c r="C1331" s="114" t="s">
        <v>10</v>
      </c>
      <c r="D1331" s="116" t="s">
        <v>88</v>
      </c>
      <c r="E1331" s="114" t="s">
        <v>25</v>
      </c>
      <c r="F1331" s="114">
        <v>90</v>
      </c>
      <c r="G1331" s="114">
        <v>100</v>
      </c>
      <c r="H1331" s="509">
        <f t="shared" si="135"/>
        <v>100</v>
      </c>
      <c r="I1331" s="114"/>
      <c r="J1331" s="118"/>
      <c r="K1331" s="116"/>
      <c r="L1331" s="114"/>
      <c r="M1331" s="119"/>
      <c r="N1331" s="119"/>
      <c r="O1331" s="115"/>
      <c r="P1331" s="127"/>
      <c r="Q1331" s="113"/>
      <c r="R1331" s="114"/>
      <c r="S1331" s="579"/>
      <c r="T1331" s="211"/>
    </row>
    <row r="1332" spans="1:20" s="212" customFormat="1" ht="126" customHeight="1" x14ac:dyDescent="0.35">
      <c r="A1332" s="576"/>
      <c r="B1332" s="600"/>
      <c r="C1332" s="114" t="s">
        <v>35</v>
      </c>
      <c r="D1332" s="116" t="s">
        <v>130</v>
      </c>
      <c r="E1332" s="114" t="s">
        <v>25</v>
      </c>
      <c r="F1332" s="114">
        <v>100</v>
      </c>
      <c r="G1332" s="114">
        <v>100</v>
      </c>
      <c r="H1332" s="509">
        <f t="shared" si="135"/>
        <v>100</v>
      </c>
      <c r="I1332" s="114"/>
      <c r="J1332" s="118"/>
      <c r="K1332" s="116"/>
      <c r="L1332" s="114"/>
      <c r="M1332" s="119"/>
      <c r="N1332" s="119"/>
      <c r="O1332" s="115"/>
      <c r="P1332" s="127"/>
      <c r="Q1332" s="113"/>
      <c r="R1332" s="114"/>
      <c r="S1332" s="579"/>
      <c r="T1332" s="211"/>
    </row>
    <row r="1333" spans="1:20" s="124" customFormat="1" ht="40.5" customHeight="1" x14ac:dyDescent="0.35">
      <c r="A1333" s="576"/>
      <c r="B1333" s="600"/>
      <c r="C1333" s="191"/>
      <c r="D1333" s="183" t="s">
        <v>6</v>
      </c>
      <c r="E1333" s="191"/>
      <c r="F1333" s="184"/>
      <c r="G1333" s="184"/>
      <c r="H1333" s="187"/>
      <c r="I1333" s="187">
        <f>(H1328+H1329+H1330+H1331+H1332)/5</f>
        <v>100</v>
      </c>
      <c r="J1333" s="182"/>
      <c r="K1333" s="183" t="s">
        <v>6</v>
      </c>
      <c r="L1333" s="184"/>
      <c r="M1333" s="188"/>
      <c r="N1333" s="188"/>
      <c r="O1333" s="187"/>
      <c r="P1333" s="187">
        <f>O1328</f>
        <v>100.58479532163742</v>
      </c>
      <c r="Q1333" s="187">
        <f>(I1333+P1333)/2</f>
        <v>100.29239766081871</v>
      </c>
      <c r="R1333" s="191" t="s">
        <v>31</v>
      </c>
      <c r="S1333" s="579"/>
      <c r="T1333" s="123"/>
    </row>
    <row r="1334" spans="1:20" s="212" customFormat="1" ht="66" customHeight="1" x14ac:dyDescent="0.35">
      <c r="A1334" s="576"/>
      <c r="B1334" s="600"/>
      <c r="C1334" s="502" t="s">
        <v>13</v>
      </c>
      <c r="D1334" s="146" t="s">
        <v>131</v>
      </c>
      <c r="E1334" s="114"/>
      <c r="F1334" s="114"/>
      <c r="G1334" s="114"/>
      <c r="H1334" s="113"/>
      <c r="I1334" s="113"/>
      <c r="J1334" s="502" t="s">
        <v>13</v>
      </c>
      <c r="K1334" s="146" t="s">
        <v>131</v>
      </c>
      <c r="L1334" s="114"/>
      <c r="M1334" s="119"/>
      <c r="N1334" s="119"/>
      <c r="O1334" s="113"/>
      <c r="P1334" s="127"/>
      <c r="Q1334" s="113"/>
      <c r="R1334" s="114"/>
      <c r="S1334" s="579"/>
      <c r="T1334" s="211"/>
    </row>
    <row r="1335" spans="1:20" s="212" customFormat="1" ht="66" customHeight="1" x14ac:dyDescent="0.35">
      <c r="A1335" s="576"/>
      <c r="B1335" s="600"/>
      <c r="C1335" s="114" t="s">
        <v>14</v>
      </c>
      <c r="D1335" s="116" t="s">
        <v>132</v>
      </c>
      <c r="E1335" s="114" t="s">
        <v>25</v>
      </c>
      <c r="F1335" s="114">
        <v>100</v>
      </c>
      <c r="G1335" s="114">
        <v>100</v>
      </c>
      <c r="H1335" s="509">
        <f t="shared" ref="H1335:H1339" si="136">IF(G1335/F1335*100&gt;100,100,G1335/F1335*100)</f>
        <v>100</v>
      </c>
      <c r="I1335" s="114"/>
      <c r="J1335" s="118" t="s">
        <v>14</v>
      </c>
      <c r="K1335" s="116" t="s">
        <v>89</v>
      </c>
      <c r="L1335" s="114" t="s">
        <v>38</v>
      </c>
      <c r="M1335" s="114">
        <v>374</v>
      </c>
      <c r="N1335" s="114">
        <v>378</v>
      </c>
      <c r="O1335" s="115">
        <f>IF(N1335/M1335*100&gt;110,110,N1335/M1335*100)</f>
        <v>101.06951871657755</v>
      </c>
      <c r="P1335" s="114"/>
      <c r="Q1335" s="113"/>
      <c r="R1335" s="114"/>
      <c r="S1335" s="579"/>
      <c r="T1335" s="211"/>
    </row>
    <row r="1336" spans="1:20" s="212" customFormat="1" x14ac:dyDescent="0.35">
      <c r="A1336" s="576"/>
      <c r="B1336" s="600"/>
      <c r="C1336" s="114" t="s">
        <v>15</v>
      </c>
      <c r="D1336" s="116" t="s">
        <v>559</v>
      </c>
      <c r="E1336" s="114" t="s">
        <v>25</v>
      </c>
      <c r="F1336" s="114">
        <v>100</v>
      </c>
      <c r="G1336" s="114">
        <v>100</v>
      </c>
      <c r="H1336" s="509">
        <f t="shared" si="136"/>
        <v>100</v>
      </c>
      <c r="I1336" s="114"/>
      <c r="J1336" s="118"/>
      <c r="K1336" s="116"/>
      <c r="L1336" s="114"/>
      <c r="M1336" s="119"/>
      <c r="N1336" s="119"/>
      <c r="O1336" s="115"/>
      <c r="P1336" s="127"/>
      <c r="Q1336" s="113"/>
      <c r="R1336" s="114"/>
      <c r="S1336" s="579"/>
      <c r="T1336" s="211"/>
    </row>
    <row r="1337" spans="1:20" s="212" customFormat="1" ht="50.25" customHeight="1" x14ac:dyDescent="0.35">
      <c r="A1337" s="576"/>
      <c r="B1337" s="600"/>
      <c r="C1337" s="114" t="s">
        <v>39</v>
      </c>
      <c r="D1337" s="116" t="s">
        <v>468</v>
      </c>
      <c r="E1337" s="114" t="s">
        <v>25</v>
      </c>
      <c r="F1337" s="114">
        <v>100</v>
      </c>
      <c r="G1337" s="114">
        <v>100</v>
      </c>
      <c r="H1337" s="509">
        <f t="shared" si="136"/>
        <v>100</v>
      </c>
      <c r="I1337" s="114"/>
      <c r="J1337" s="118"/>
      <c r="K1337" s="116"/>
      <c r="L1337" s="114"/>
      <c r="M1337" s="119"/>
      <c r="N1337" s="119"/>
      <c r="O1337" s="115"/>
      <c r="P1337" s="127"/>
      <c r="Q1337" s="113"/>
      <c r="R1337" s="114"/>
      <c r="S1337" s="579"/>
      <c r="T1337" s="211"/>
    </row>
    <row r="1338" spans="1:20" s="212" customFormat="1" ht="57.75" customHeight="1" x14ac:dyDescent="0.35">
      <c r="A1338" s="576"/>
      <c r="B1338" s="600"/>
      <c r="C1338" s="114" t="s">
        <v>45</v>
      </c>
      <c r="D1338" s="116" t="s">
        <v>390</v>
      </c>
      <c r="E1338" s="114" t="s">
        <v>25</v>
      </c>
      <c r="F1338" s="114">
        <v>90</v>
      </c>
      <c r="G1338" s="114">
        <v>100</v>
      </c>
      <c r="H1338" s="509">
        <f t="shared" si="136"/>
        <v>100</v>
      </c>
      <c r="I1338" s="114"/>
      <c r="J1338" s="118"/>
      <c r="K1338" s="116"/>
      <c r="L1338" s="114"/>
      <c r="M1338" s="119"/>
      <c r="N1338" s="119"/>
      <c r="O1338" s="115"/>
      <c r="P1338" s="127"/>
      <c r="Q1338" s="113"/>
      <c r="R1338" s="114"/>
      <c r="S1338" s="579"/>
      <c r="T1338" s="211"/>
    </row>
    <row r="1339" spans="1:20" s="212" customFormat="1" ht="123.75" customHeight="1" x14ac:dyDescent="0.35">
      <c r="A1339" s="576"/>
      <c r="B1339" s="600"/>
      <c r="C1339" s="114" t="s">
        <v>66</v>
      </c>
      <c r="D1339" s="116" t="s">
        <v>130</v>
      </c>
      <c r="E1339" s="114" t="s">
        <v>25</v>
      </c>
      <c r="F1339" s="114">
        <v>100</v>
      </c>
      <c r="G1339" s="114">
        <v>100</v>
      </c>
      <c r="H1339" s="509">
        <f t="shared" si="136"/>
        <v>100</v>
      </c>
      <c r="I1339" s="114"/>
      <c r="J1339" s="118"/>
      <c r="K1339" s="116"/>
      <c r="L1339" s="114"/>
      <c r="M1339" s="119"/>
      <c r="N1339" s="119"/>
      <c r="O1339" s="115"/>
      <c r="P1339" s="127"/>
      <c r="Q1339" s="113"/>
      <c r="R1339" s="114"/>
      <c r="S1339" s="579"/>
      <c r="T1339" s="211"/>
    </row>
    <row r="1340" spans="1:20" s="124" customFormat="1" ht="40.5" customHeight="1" x14ac:dyDescent="0.35">
      <c r="A1340" s="576"/>
      <c r="B1340" s="600"/>
      <c r="C1340" s="191"/>
      <c r="D1340" s="183" t="s">
        <v>6</v>
      </c>
      <c r="E1340" s="191"/>
      <c r="F1340" s="184"/>
      <c r="G1340" s="184"/>
      <c r="H1340" s="187"/>
      <c r="I1340" s="187">
        <f>(H1335+H1336+H1337+H1338+H1339)/5</f>
        <v>100</v>
      </c>
      <c r="J1340" s="182"/>
      <c r="K1340" s="183" t="s">
        <v>6</v>
      </c>
      <c r="L1340" s="184"/>
      <c r="M1340" s="188"/>
      <c r="N1340" s="188"/>
      <c r="O1340" s="187"/>
      <c r="P1340" s="187">
        <f>O1335</f>
        <v>101.06951871657755</v>
      </c>
      <c r="Q1340" s="187">
        <f>(I1340+P1340)/2</f>
        <v>100.53475935828877</v>
      </c>
      <c r="R1340" s="191" t="s">
        <v>31</v>
      </c>
      <c r="S1340" s="579"/>
      <c r="T1340" s="123"/>
    </row>
    <row r="1341" spans="1:20" s="212" customFormat="1" ht="59.25" customHeight="1" x14ac:dyDescent="0.35">
      <c r="A1341" s="576"/>
      <c r="B1341" s="600"/>
      <c r="C1341" s="502" t="s">
        <v>28</v>
      </c>
      <c r="D1341" s="146" t="s">
        <v>133</v>
      </c>
      <c r="E1341" s="114"/>
      <c r="F1341" s="114"/>
      <c r="G1341" s="114"/>
      <c r="H1341" s="113"/>
      <c r="I1341" s="113"/>
      <c r="J1341" s="502" t="s">
        <v>28</v>
      </c>
      <c r="K1341" s="146" t="str">
        <f>D1341</f>
        <v>Реализация основных общеобразовательных программ среднего общего образования</v>
      </c>
      <c r="L1341" s="114"/>
      <c r="M1341" s="119"/>
      <c r="N1341" s="119"/>
      <c r="O1341" s="113"/>
      <c r="P1341" s="127"/>
      <c r="Q1341" s="113"/>
      <c r="R1341" s="114"/>
      <c r="S1341" s="579"/>
      <c r="T1341" s="211"/>
    </row>
    <row r="1342" spans="1:20" s="212" customFormat="1" ht="84" customHeight="1" x14ac:dyDescent="0.35">
      <c r="A1342" s="576"/>
      <c r="B1342" s="600"/>
      <c r="C1342" s="114" t="s">
        <v>29</v>
      </c>
      <c r="D1342" s="116" t="s">
        <v>134</v>
      </c>
      <c r="E1342" s="114" t="s">
        <v>25</v>
      </c>
      <c r="F1342" s="114">
        <v>100</v>
      </c>
      <c r="G1342" s="114">
        <v>100</v>
      </c>
      <c r="H1342" s="509">
        <f t="shared" ref="H1342:H1346" si="137">IF(G1342/F1342*100&gt;100,100,G1342/F1342*100)</f>
        <v>100</v>
      </c>
      <c r="I1342" s="114"/>
      <c r="J1342" s="118" t="s">
        <v>29</v>
      </c>
      <c r="K1342" s="116" t="s">
        <v>89</v>
      </c>
      <c r="L1342" s="114" t="s">
        <v>38</v>
      </c>
      <c r="M1342" s="114">
        <v>55</v>
      </c>
      <c r="N1342" s="114">
        <v>57</v>
      </c>
      <c r="O1342" s="115">
        <f>IF(N1342/M1342*100&gt;110,110,N1342/M1342*100)</f>
        <v>103.63636363636364</v>
      </c>
      <c r="P1342" s="114"/>
      <c r="Q1342" s="113"/>
      <c r="R1342" s="114"/>
      <c r="S1342" s="579"/>
      <c r="T1342" s="211"/>
    </row>
    <row r="1343" spans="1:20" s="212" customFormat="1" x14ac:dyDescent="0.35">
      <c r="A1343" s="576"/>
      <c r="B1343" s="600"/>
      <c r="C1343" s="114" t="s">
        <v>30</v>
      </c>
      <c r="D1343" s="116" t="s">
        <v>560</v>
      </c>
      <c r="E1343" s="114" t="s">
        <v>25</v>
      </c>
      <c r="F1343" s="114">
        <v>100</v>
      </c>
      <c r="G1343" s="114">
        <v>100</v>
      </c>
      <c r="H1343" s="509">
        <f t="shared" si="137"/>
        <v>100</v>
      </c>
      <c r="I1343" s="114"/>
      <c r="J1343" s="118"/>
      <c r="K1343" s="116"/>
      <c r="L1343" s="114"/>
      <c r="M1343" s="119"/>
      <c r="N1343" s="119"/>
      <c r="O1343" s="115"/>
      <c r="P1343" s="127"/>
      <c r="Q1343" s="113"/>
      <c r="R1343" s="114"/>
      <c r="S1343" s="579"/>
      <c r="T1343" s="211"/>
    </row>
    <row r="1344" spans="1:20" s="212" customFormat="1" ht="42.75" customHeight="1" x14ac:dyDescent="0.35">
      <c r="A1344" s="576"/>
      <c r="B1344" s="600"/>
      <c r="C1344" s="114" t="s">
        <v>52</v>
      </c>
      <c r="D1344" s="116" t="s">
        <v>468</v>
      </c>
      <c r="E1344" s="114" t="s">
        <v>25</v>
      </c>
      <c r="F1344" s="114">
        <v>100</v>
      </c>
      <c r="G1344" s="114">
        <v>100</v>
      </c>
      <c r="H1344" s="509">
        <f t="shared" si="137"/>
        <v>100</v>
      </c>
      <c r="I1344" s="114"/>
      <c r="J1344" s="118"/>
      <c r="K1344" s="116"/>
      <c r="L1344" s="114"/>
      <c r="M1344" s="119"/>
      <c r="N1344" s="119"/>
      <c r="O1344" s="115"/>
      <c r="P1344" s="127"/>
      <c r="Q1344" s="113"/>
      <c r="R1344" s="114"/>
      <c r="S1344" s="579"/>
      <c r="T1344" s="211"/>
    </row>
    <row r="1345" spans="1:20" s="212" customFormat="1" ht="55.5" customHeight="1" x14ac:dyDescent="0.35">
      <c r="A1345" s="576"/>
      <c r="B1345" s="600"/>
      <c r="C1345" s="114" t="s">
        <v>53</v>
      </c>
      <c r="D1345" s="116" t="s">
        <v>390</v>
      </c>
      <c r="E1345" s="114" t="s">
        <v>25</v>
      </c>
      <c r="F1345" s="114">
        <v>90</v>
      </c>
      <c r="G1345" s="114">
        <v>100</v>
      </c>
      <c r="H1345" s="509">
        <f t="shared" si="137"/>
        <v>100</v>
      </c>
      <c r="I1345" s="114"/>
      <c r="J1345" s="118"/>
      <c r="K1345" s="116"/>
      <c r="L1345" s="114"/>
      <c r="M1345" s="119"/>
      <c r="N1345" s="119"/>
      <c r="O1345" s="115"/>
      <c r="P1345" s="127"/>
      <c r="Q1345" s="113"/>
      <c r="R1345" s="114"/>
      <c r="S1345" s="579"/>
      <c r="T1345" s="211"/>
    </row>
    <row r="1346" spans="1:20" s="212" customFormat="1" ht="121.5" customHeight="1" x14ac:dyDescent="0.35">
      <c r="A1346" s="576"/>
      <c r="B1346" s="600"/>
      <c r="C1346" s="114" t="s">
        <v>135</v>
      </c>
      <c r="D1346" s="116" t="s">
        <v>130</v>
      </c>
      <c r="E1346" s="114" t="s">
        <v>25</v>
      </c>
      <c r="F1346" s="114">
        <v>100</v>
      </c>
      <c r="G1346" s="114">
        <v>100</v>
      </c>
      <c r="H1346" s="509">
        <f t="shared" si="137"/>
        <v>100</v>
      </c>
      <c r="I1346" s="114"/>
      <c r="J1346" s="118"/>
      <c r="K1346" s="116"/>
      <c r="L1346" s="114"/>
      <c r="M1346" s="119"/>
      <c r="N1346" s="119"/>
      <c r="O1346" s="115"/>
      <c r="P1346" s="127"/>
      <c r="Q1346" s="113"/>
      <c r="R1346" s="114"/>
      <c r="S1346" s="579"/>
      <c r="T1346" s="211"/>
    </row>
    <row r="1347" spans="1:20" s="124" customFormat="1" ht="40.5" customHeight="1" x14ac:dyDescent="0.35">
      <c r="A1347" s="576"/>
      <c r="B1347" s="600"/>
      <c r="C1347" s="191"/>
      <c r="D1347" s="183" t="s">
        <v>6</v>
      </c>
      <c r="E1347" s="191"/>
      <c r="F1347" s="184"/>
      <c r="G1347" s="184"/>
      <c r="H1347" s="187"/>
      <c r="I1347" s="187">
        <f>(H1342+H1343+H1344+H1345+H1346)/5</f>
        <v>100</v>
      </c>
      <c r="J1347" s="182"/>
      <c r="K1347" s="183" t="s">
        <v>6</v>
      </c>
      <c r="L1347" s="184"/>
      <c r="M1347" s="188"/>
      <c r="N1347" s="188"/>
      <c r="O1347" s="187"/>
      <c r="P1347" s="187">
        <f>O1342</f>
        <v>103.63636363636364</v>
      </c>
      <c r="Q1347" s="187">
        <f>(I1347+P1347)/2</f>
        <v>101.81818181818181</v>
      </c>
      <c r="R1347" s="191" t="s">
        <v>31</v>
      </c>
      <c r="S1347" s="579"/>
      <c r="T1347" s="123"/>
    </row>
    <row r="1348" spans="1:20" s="212" customFormat="1" x14ac:dyDescent="0.35">
      <c r="A1348" s="576"/>
      <c r="B1348" s="600"/>
      <c r="C1348" s="502" t="s">
        <v>42</v>
      </c>
      <c r="D1348" s="146" t="s">
        <v>90</v>
      </c>
      <c r="E1348" s="114"/>
      <c r="F1348" s="114"/>
      <c r="G1348" s="114"/>
      <c r="H1348" s="113"/>
      <c r="I1348" s="113"/>
      <c r="J1348" s="502" t="s">
        <v>42</v>
      </c>
      <c r="K1348" s="146" t="s">
        <v>90</v>
      </c>
      <c r="L1348" s="114"/>
      <c r="M1348" s="119"/>
      <c r="N1348" s="119"/>
      <c r="O1348" s="113"/>
      <c r="P1348" s="127"/>
      <c r="Q1348" s="113"/>
      <c r="R1348" s="114"/>
      <c r="S1348" s="579"/>
      <c r="T1348" s="211"/>
    </row>
    <row r="1349" spans="1:20" s="212" customFormat="1" ht="51.75" customHeight="1" x14ac:dyDescent="0.35">
      <c r="A1349" s="576"/>
      <c r="B1349" s="600"/>
      <c r="C1349" s="114" t="s">
        <v>43</v>
      </c>
      <c r="D1349" s="116" t="s">
        <v>136</v>
      </c>
      <c r="E1349" s="114" t="s">
        <v>25</v>
      </c>
      <c r="F1349" s="114">
        <v>100</v>
      </c>
      <c r="G1349" s="114">
        <v>100</v>
      </c>
      <c r="H1349" s="509">
        <f t="shared" ref="H1349:H1350" si="138">IF(G1349/F1349*100&gt;100,100,G1349/F1349*100)</f>
        <v>100</v>
      </c>
      <c r="I1349" s="114"/>
      <c r="J1349" s="118" t="s">
        <v>43</v>
      </c>
      <c r="K1349" s="116" t="s">
        <v>89</v>
      </c>
      <c r="L1349" s="114" t="s">
        <v>38</v>
      </c>
      <c r="M1349" s="114">
        <v>104</v>
      </c>
      <c r="N1349" s="114">
        <v>104</v>
      </c>
      <c r="O1349" s="115">
        <f>IF(N1349/M1349*100&gt;110,110,N1349/M1349*100)</f>
        <v>100</v>
      </c>
      <c r="P1349" s="127"/>
      <c r="Q1349" s="113"/>
      <c r="R1349" s="114"/>
      <c r="S1349" s="579"/>
      <c r="T1349" s="211"/>
    </row>
    <row r="1350" spans="1:20" s="212" customFormat="1" ht="84" customHeight="1" x14ac:dyDescent="0.35">
      <c r="A1350" s="576"/>
      <c r="B1350" s="600"/>
      <c r="C1350" s="114" t="s">
        <v>137</v>
      </c>
      <c r="D1350" s="116" t="s">
        <v>138</v>
      </c>
      <c r="E1350" s="114" t="s">
        <v>25</v>
      </c>
      <c r="F1350" s="114">
        <v>90</v>
      </c>
      <c r="G1350" s="114">
        <v>90</v>
      </c>
      <c r="H1350" s="509">
        <f t="shared" si="138"/>
        <v>100</v>
      </c>
      <c r="I1350" s="114"/>
      <c r="J1350" s="118"/>
      <c r="K1350" s="116"/>
      <c r="L1350" s="114"/>
      <c r="M1350" s="119"/>
      <c r="N1350" s="119"/>
      <c r="O1350" s="115"/>
      <c r="P1350" s="127"/>
      <c r="Q1350" s="113"/>
      <c r="R1350" s="114"/>
      <c r="S1350" s="579"/>
      <c r="T1350" s="211"/>
    </row>
    <row r="1351" spans="1:20" s="124" customFormat="1" ht="40.5" customHeight="1" x14ac:dyDescent="0.35">
      <c r="A1351" s="576"/>
      <c r="B1351" s="600"/>
      <c r="C1351" s="191"/>
      <c r="D1351" s="183" t="s">
        <v>6</v>
      </c>
      <c r="E1351" s="191"/>
      <c r="F1351" s="184"/>
      <c r="G1351" s="184"/>
      <c r="H1351" s="187"/>
      <c r="I1351" s="187">
        <f>(H1349+H1350)/2</f>
        <v>100</v>
      </c>
      <c r="J1351" s="182"/>
      <c r="K1351" s="183" t="s">
        <v>6</v>
      </c>
      <c r="L1351" s="184"/>
      <c r="M1351" s="188"/>
      <c r="N1351" s="188"/>
      <c r="O1351" s="187"/>
      <c r="P1351" s="187">
        <f>O1349</f>
        <v>100</v>
      </c>
      <c r="Q1351" s="187">
        <f>(I1351+P1351)/2</f>
        <v>100</v>
      </c>
      <c r="R1351" s="191" t="s">
        <v>31</v>
      </c>
      <c r="S1351" s="579"/>
      <c r="T1351" s="123"/>
    </row>
    <row r="1352" spans="1:20" s="212" customFormat="1" ht="62.25" customHeight="1" x14ac:dyDescent="0.35">
      <c r="A1352" s="576"/>
      <c r="B1352" s="600"/>
      <c r="C1352" s="502" t="s">
        <v>164</v>
      </c>
      <c r="D1352" s="146" t="s">
        <v>211</v>
      </c>
      <c r="E1352" s="114"/>
      <c r="F1352" s="114"/>
      <c r="G1352" s="114"/>
      <c r="H1352" s="113"/>
      <c r="I1352" s="113"/>
      <c r="J1352" s="502" t="s">
        <v>164</v>
      </c>
      <c r="K1352" s="146" t="str">
        <f>D1352</f>
        <v>Реализация дополнительных общеразвивающих программ</v>
      </c>
      <c r="L1352" s="114"/>
      <c r="M1352" s="119"/>
      <c r="N1352" s="119"/>
      <c r="O1352" s="113"/>
      <c r="P1352" s="127"/>
      <c r="Q1352" s="113"/>
      <c r="R1352" s="114"/>
      <c r="S1352" s="579"/>
      <c r="T1352" s="211"/>
    </row>
    <row r="1353" spans="1:20" s="212" customFormat="1" ht="77.25" customHeight="1" x14ac:dyDescent="0.35">
      <c r="A1353" s="576"/>
      <c r="B1353" s="600"/>
      <c r="C1353" s="114" t="s">
        <v>165</v>
      </c>
      <c r="D1353" s="116" t="s">
        <v>138</v>
      </c>
      <c r="E1353" s="114" t="s">
        <v>25</v>
      </c>
      <c r="F1353" s="114">
        <v>90</v>
      </c>
      <c r="G1353" s="114">
        <v>90</v>
      </c>
      <c r="H1353" s="509">
        <f>IF(G1353/F1353*100&gt;100,100,G1353/F1353*100)</f>
        <v>100</v>
      </c>
      <c r="I1353" s="114"/>
      <c r="J1353" s="118" t="str">
        <f>C1353</f>
        <v>5.1.</v>
      </c>
      <c r="K1353" s="116" t="s">
        <v>469</v>
      </c>
      <c r="L1353" s="114" t="s">
        <v>339</v>
      </c>
      <c r="M1353" s="114">
        <v>51408</v>
      </c>
      <c r="N1353" s="190">
        <v>51408</v>
      </c>
      <c r="O1353" s="115">
        <f>IF(N1353/M1353*100&gt;110,110,N1353/M1353*100)</f>
        <v>100</v>
      </c>
      <c r="P1353" s="127"/>
      <c r="Q1353" s="113"/>
      <c r="R1353" s="114"/>
      <c r="S1353" s="579"/>
      <c r="T1353" s="211"/>
    </row>
    <row r="1354" spans="1:20" s="124" customFormat="1" ht="39" customHeight="1" x14ac:dyDescent="0.35">
      <c r="A1354" s="576"/>
      <c r="B1354" s="600"/>
      <c r="C1354" s="191"/>
      <c r="D1354" s="183" t="s">
        <v>6</v>
      </c>
      <c r="E1354" s="191"/>
      <c r="F1354" s="184"/>
      <c r="G1354" s="184"/>
      <c r="H1354" s="187"/>
      <c r="I1354" s="187">
        <f>H1353</f>
        <v>100</v>
      </c>
      <c r="J1354" s="182"/>
      <c r="K1354" s="183" t="s">
        <v>6</v>
      </c>
      <c r="L1354" s="184"/>
      <c r="M1354" s="188"/>
      <c r="N1354" s="188"/>
      <c r="O1354" s="187"/>
      <c r="P1354" s="187">
        <f>O1353</f>
        <v>100</v>
      </c>
      <c r="Q1354" s="187">
        <f>(I1354+P1354)/2</f>
        <v>100</v>
      </c>
      <c r="R1354" s="191" t="s">
        <v>31</v>
      </c>
      <c r="S1354" s="579"/>
      <c r="T1354" s="123"/>
    </row>
    <row r="1355" spans="1:20" s="212" customFormat="1" ht="57.75" customHeight="1" x14ac:dyDescent="0.35">
      <c r="A1355" s="576">
        <v>72</v>
      </c>
      <c r="B1355" s="600" t="s">
        <v>184</v>
      </c>
      <c r="C1355" s="502" t="s">
        <v>12</v>
      </c>
      <c r="D1355" s="146" t="s">
        <v>128</v>
      </c>
      <c r="E1355" s="502"/>
      <c r="F1355" s="502"/>
      <c r="G1355" s="502"/>
      <c r="H1355" s="113"/>
      <c r="I1355" s="113"/>
      <c r="J1355" s="502" t="s">
        <v>12</v>
      </c>
      <c r="K1355" s="146" t="s">
        <v>128</v>
      </c>
      <c r="L1355" s="114"/>
      <c r="M1355" s="114"/>
      <c r="N1355" s="114"/>
      <c r="O1355" s="113"/>
      <c r="P1355" s="127"/>
      <c r="Q1355" s="113"/>
      <c r="R1355" s="114"/>
      <c r="S1355" s="579" t="s">
        <v>280</v>
      </c>
      <c r="T1355" s="211"/>
    </row>
    <row r="1356" spans="1:20" s="212" customFormat="1" ht="85.5" customHeight="1" x14ac:dyDescent="0.35">
      <c r="A1356" s="576"/>
      <c r="B1356" s="600"/>
      <c r="C1356" s="114" t="s">
        <v>7</v>
      </c>
      <c r="D1356" s="116" t="s">
        <v>129</v>
      </c>
      <c r="E1356" s="114" t="s">
        <v>25</v>
      </c>
      <c r="F1356" s="114">
        <v>100</v>
      </c>
      <c r="G1356" s="114">
        <v>100</v>
      </c>
      <c r="H1356" s="509">
        <f t="shared" ref="H1356:H1360" si="139">IF(G1356/F1356*100&gt;100,100,G1356/F1356*100)</f>
        <v>100</v>
      </c>
      <c r="I1356" s="114"/>
      <c r="J1356" s="114" t="s">
        <v>7</v>
      </c>
      <c r="K1356" s="116" t="s">
        <v>89</v>
      </c>
      <c r="L1356" s="114" t="s">
        <v>38</v>
      </c>
      <c r="M1356" s="114">
        <v>237</v>
      </c>
      <c r="N1356" s="114">
        <v>234</v>
      </c>
      <c r="O1356" s="115">
        <f>IF(N1356/M1356*100&gt;110,110,N1356/M1356*100)</f>
        <v>98.734177215189874</v>
      </c>
      <c r="P1356" s="127"/>
      <c r="Q1356" s="113"/>
      <c r="R1356" s="114"/>
      <c r="S1356" s="579"/>
      <c r="T1356" s="211"/>
    </row>
    <row r="1357" spans="1:20" s="212" customFormat="1" x14ac:dyDescent="0.35">
      <c r="A1357" s="576"/>
      <c r="B1357" s="600"/>
      <c r="C1357" s="114" t="s">
        <v>8</v>
      </c>
      <c r="D1357" s="116" t="s">
        <v>561</v>
      </c>
      <c r="E1357" s="114" t="s">
        <v>25</v>
      </c>
      <c r="F1357" s="114">
        <v>100</v>
      </c>
      <c r="G1357" s="114">
        <v>100</v>
      </c>
      <c r="H1357" s="509">
        <f t="shared" si="139"/>
        <v>100</v>
      </c>
      <c r="I1357" s="114"/>
      <c r="J1357" s="114"/>
      <c r="K1357" s="503"/>
      <c r="L1357" s="114"/>
      <c r="M1357" s="117"/>
      <c r="N1357" s="117"/>
      <c r="O1357" s="115"/>
      <c r="P1357" s="127"/>
      <c r="Q1357" s="113"/>
      <c r="R1357" s="114"/>
      <c r="S1357" s="579"/>
      <c r="T1357" s="211"/>
    </row>
    <row r="1358" spans="1:20" s="212" customFormat="1" ht="45.75" customHeight="1" x14ac:dyDescent="0.35">
      <c r="A1358" s="576"/>
      <c r="B1358" s="600"/>
      <c r="C1358" s="114" t="s">
        <v>9</v>
      </c>
      <c r="D1358" s="116" t="s">
        <v>468</v>
      </c>
      <c r="E1358" s="114" t="s">
        <v>25</v>
      </c>
      <c r="F1358" s="114">
        <v>100</v>
      </c>
      <c r="G1358" s="114">
        <v>100</v>
      </c>
      <c r="H1358" s="509">
        <f t="shared" si="139"/>
        <v>100</v>
      </c>
      <c r="I1358" s="114"/>
      <c r="J1358" s="118"/>
      <c r="K1358" s="116"/>
      <c r="L1358" s="114"/>
      <c r="M1358" s="119"/>
      <c r="N1358" s="119"/>
      <c r="O1358" s="115"/>
      <c r="P1358" s="127"/>
      <c r="Q1358" s="113"/>
      <c r="R1358" s="114"/>
      <c r="S1358" s="579"/>
      <c r="T1358" s="211"/>
    </row>
    <row r="1359" spans="1:20" s="212" customFormat="1" ht="59.25" customHeight="1" x14ac:dyDescent="0.35">
      <c r="A1359" s="576"/>
      <c r="B1359" s="600"/>
      <c r="C1359" s="114" t="s">
        <v>10</v>
      </c>
      <c r="D1359" s="116" t="s">
        <v>390</v>
      </c>
      <c r="E1359" s="114" t="s">
        <v>25</v>
      </c>
      <c r="F1359" s="114">
        <v>90</v>
      </c>
      <c r="G1359" s="114">
        <v>100</v>
      </c>
      <c r="H1359" s="509">
        <f t="shared" si="139"/>
        <v>100</v>
      </c>
      <c r="I1359" s="114"/>
      <c r="J1359" s="118"/>
      <c r="K1359" s="116"/>
      <c r="L1359" s="114"/>
      <c r="M1359" s="119"/>
      <c r="N1359" s="119"/>
      <c r="O1359" s="115"/>
      <c r="P1359" s="127"/>
      <c r="Q1359" s="113"/>
      <c r="R1359" s="114"/>
      <c r="S1359" s="579"/>
      <c r="T1359" s="211"/>
    </row>
    <row r="1360" spans="1:20" s="212" customFormat="1" ht="132.75" customHeight="1" x14ac:dyDescent="0.35">
      <c r="A1360" s="576"/>
      <c r="B1360" s="600"/>
      <c r="C1360" s="114" t="s">
        <v>35</v>
      </c>
      <c r="D1360" s="116" t="s">
        <v>130</v>
      </c>
      <c r="E1360" s="114" t="s">
        <v>25</v>
      </c>
      <c r="F1360" s="114">
        <v>100</v>
      </c>
      <c r="G1360" s="114">
        <v>100</v>
      </c>
      <c r="H1360" s="509">
        <f t="shared" si="139"/>
        <v>100</v>
      </c>
      <c r="I1360" s="114"/>
      <c r="J1360" s="118"/>
      <c r="K1360" s="116"/>
      <c r="L1360" s="114"/>
      <c r="M1360" s="119"/>
      <c r="N1360" s="119"/>
      <c r="O1360" s="115"/>
      <c r="P1360" s="127"/>
      <c r="Q1360" s="113"/>
      <c r="R1360" s="114"/>
      <c r="S1360" s="579"/>
      <c r="T1360" s="211"/>
    </row>
    <row r="1361" spans="1:20" s="124" customFormat="1" ht="40.5" customHeight="1" x14ac:dyDescent="0.35">
      <c r="A1361" s="576"/>
      <c r="B1361" s="600"/>
      <c r="C1361" s="191"/>
      <c r="D1361" s="183" t="s">
        <v>6</v>
      </c>
      <c r="E1361" s="191"/>
      <c r="F1361" s="184"/>
      <c r="G1361" s="184"/>
      <c r="H1361" s="187"/>
      <c r="I1361" s="187">
        <f>(H1356+H1357+H1358+H1359+H1360)/5</f>
        <v>100</v>
      </c>
      <c r="J1361" s="182"/>
      <c r="K1361" s="183" t="s">
        <v>6</v>
      </c>
      <c r="L1361" s="184"/>
      <c r="M1361" s="188"/>
      <c r="N1361" s="188"/>
      <c r="O1361" s="187"/>
      <c r="P1361" s="187">
        <f>O1356</f>
        <v>98.734177215189874</v>
      </c>
      <c r="Q1361" s="187">
        <f>(I1361+P1361)/2</f>
        <v>99.367088607594937</v>
      </c>
      <c r="R1361" s="191" t="s">
        <v>361</v>
      </c>
      <c r="S1361" s="579"/>
      <c r="T1361" s="123"/>
    </row>
    <row r="1362" spans="1:20" s="212" customFormat="1" ht="57.75" customHeight="1" x14ac:dyDescent="0.35">
      <c r="A1362" s="576"/>
      <c r="B1362" s="600"/>
      <c r="C1362" s="502" t="s">
        <v>13</v>
      </c>
      <c r="D1362" s="146" t="s">
        <v>131</v>
      </c>
      <c r="E1362" s="114"/>
      <c r="F1362" s="114"/>
      <c r="G1362" s="114"/>
      <c r="H1362" s="113"/>
      <c r="I1362" s="113"/>
      <c r="J1362" s="502" t="s">
        <v>13</v>
      </c>
      <c r="K1362" s="146" t="s">
        <v>131</v>
      </c>
      <c r="L1362" s="114"/>
      <c r="M1362" s="119"/>
      <c r="N1362" s="119"/>
      <c r="O1362" s="113"/>
      <c r="P1362" s="127"/>
      <c r="Q1362" s="113"/>
      <c r="R1362" s="114"/>
      <c r="S1362" s="579"/>
      <c r="T1362" s="211"/>
    </row>
    <row r="1363" spans="1:20" s="212" customFormat="1" ht="76.5" customHeight="1" x14ac:dyDescent="0.35">
      <c r="A1363" s="576"/>
      <c r="B1363" s="600"/>
      <c r="C1363" s="114" t="s">
        <v>14</v>
      </c>
      <c r="D1363" s="116" t="s">
        <v>132</v>
      </c>
      <c r="E1363" s="114" t="s">
        <v>25</v>
      </c>
      <c r="F1363" s="114">
        <v>100</v>
      </c>
      <c r="G1363" s="114">
        <v>100</v>
      </c>
      <c r="H1363" s="509">
        <f t="shared" ref="H1363:H1367" si="140">IF(G1363/F1363*100&gt;100,100,G1363/F1363*100)</f>
        <v>100</v>
      </c>
      <c r="I1363" s="114"/>
      <c r="J1363" s="118" t="s">
        <v>14</v>
      </c>
      <c r="K1363" s="116" t="s">
        <v>89</v>
      </c>
      <c r="L1363" s="114" t="s">
        <v>38</v>
      </c>
      <c r="M1363" s="114">
        <v>246</v>
      </c>
      <c r="N1363" s="114">
        <v>253</v>
      </c>
      <c r="O1363" s="115">
        <f>IF(N1363/M1363*100&gt;110,110,N1363/M1363*100)</f>
        <v>102.84552845528457</v>
      </c>
      <c r="P1363" s="114"/>
      <c r="Q1363" s="113"/>
      <c r="R1363" s="114"/>
      <c r="S1363" s="579"/>
      <c r="T1363" s="211"/>
    </row>
    <row r="1364" spans="1:20" s="212" customFormat="1" x14ac:dyDescent="0.35">
      <c r="A1364" s="576"/>
      <c r="B1364" s="600"/>
      <c r="C1364" s="114" t="s">
        <v>15</v>
      </c>
      <c r="D1364" s="116" t="s">
        <v>559</v>
      </c>
      <c r="E1364" s="114" t="s">
        <v>25</v>
      </c>
      <c r="F1364" s="114">
        <v>100</v>
      </c>
      <c r="G1364" s="114">
        <v>100</v>
      </c>
      <c r="H1364" s="509">
        <f t="shared" si="140"/>
        <v>100</v>
      </c>
      <c r="I1364" s="114"/>
      <c r="J1364" s="118"/>
      <c r="K1364" s="116"/>
      <c r="L1364" s="114"/>
      <c r="M1364" s="119"/>
      <c r="N1364" s="119"/>
      <c r="O1364" s="115"/>
      <c r="P1364" s="127"/>
      <c r="Q1364" s="113"/>
      <c r="R1364" s="114"/>
      <c r="S1364" s="579"/>
      <c r="T1364" s="211"/>
    </row>
    <row r="1365" spans="1:20" s="212" customFormat="1" ht="59.25" customHeight="1" x14ac:dyDescent="0.35">
      <c r="A1365" s="576"/>
      <c r="B1365" s="600"/>
      <c r="C1365" s="114" t="s">
        <v>39</v>
      </c>
      <c r="D1365" s="116" t="s">
        <v>468</v>
      </c>
      <c r="E1365" s="114" t="s">
        <v>25</v>
      </c>
      <c r="F1365" s="114">
        <v>100</v>
      </c>
      <c r="G1365" s="114">
        <v>100</v>
      </c>
      <c r="H1365" s="509">
        <f t="shared" si="140"/>
        <v>100</v>
      </c>
      <c r="I1365" s="114"/>
      <c r="J1365" s="118"/>
      <c r="K1365" s="116"/>
      <c r="L1365" s="114"/>
      <c r="M1365" s="119"/>
      <c r="N1365" s="119"/>
      <c r="O1365" s="115"/>
      <c r="P1365" s="127"/>
      <c r="Q1365" s="113"/>
      <c r="R1365" s="114"/>
      <c r="S1365" s="579"/>
      <c r="T1365" s="211"/>
    </row>
    <row r="1366" spans="1:20" s="212" customFormat="1" ht="57.75" customHeight="1" x14ac:dyDescent="0.35">
      <c r="A1366" s="576"/>
      <c r="B1366" s="600"/>
      <c r="C1366" s="114" t="s">
        <v>45</v>
      </c>
      <c r="D1366" s="116" t="s">
        <v>390</v>
      </c>
      <c r="E1366" s="114" t="s">
        <v>25</v>
      </c>
      <c r="F1366" s="114">
        <v>90</v>
      </c>
      <c r="G1366" s="114">
        <v>100</v>
      </c>
      <c r="H1366" s="509">
        <f t="shared" si="140"/>
        <v>100</v>
      </c>
      <c r="I1366" s="114"/>
      <c r="J1366" s="118"/>
      <c r="K1366" s="116"/>
      <c r="L1366" s="114"/>
      <c r="M1366" s="119"/>
      <c r="N1366" s="119"/>
      <c r="O1366" s="115"/>
      <c r="P1366" s="127"/>
      <c r="Q1366" s="113"/>
      <c r="R1366" s="114"/>
      <c r="S1366" s="579"/>
      <c r="T1366" s="211"/>
    </row>
    <row r="1367" spans="1:20" s="212" customFormat="1" ht="128.25" customHeight="1" x14ac:dyDescent="0.35">
      <c r="A1367" s="576"/>
      <c r="B1367" s="600"/>
      <c r="C1367" s="114" t="s">
        <v>66</v>
      </c>
      <c r="D1367" s="116" t="s">
        <v>130</v>
      </c>
      <c r="E1367" s="114" t="s">
        <v>25</v>
      </c>
      <c r="F1367" s="114">
        <v>100</v>
      </c>
      <c r="G1367" s="114">
        <v>100</v>
      </c>
      <c r="H1367" s="509">
        <f t="shared" si="140"/>
        <v>100</v>
      </c>
      <c r="I1367" s="114"/>
      <c r="J1367" s="118"/>
      <c r="K1367" s="116"/>
      <c r="L1367" s="114"/>
      <c r="M1367" s="119"/>
      <c r="N1367" s="119"/>
      <c r="O1367" s="115"/>
      <c r="P1367" s="127"/>
      <c r="Q1367" s="113"/>
      <c r="R1367" s="114"/>
      <c r="S1367" s="579"/>
      <c r="T1367" s="211"/>
    </row>
    <row r="1368" spans="1:20" s="124" customFormat="1" ht="40.5" customHeight="1" x14ac:dyDescent="0.35">
      <c r="A1368" s="576"/>
      <c r="B1368" s="600"/>
      <c r="C1368" s="191"/>
      <c r="D1368" s="183" t="s">
        <v>6</v>
      </c>
      <c r="E1368" s="191"/>
      <c r="F1368" s="184"/>
      <c r="G1368" s="184"/>
      <c r="H1368" s="187"/>
      <c r="I1368" s="187">
        <f>(H1363+H1364+H1365+H1366+H1367)/5</f>
        <v>100</v>
      </c>
      <c r="J1368" s="182"/>
      <c r="K1368" s="183" t="s">
        <v>6</v>
      </c>
      <c r="L1368" s="184"/>
      <c r="M1368" s="188"/>
      <c r="N1368" s="188"/>
      <c r="O1368" s="187"/>
      <c r="P1368" s="187">
        <f>O1363</f>
        <v>102.84552845528457</v>
      </c>
      <c r="Q1368" s="187">
        <f>(I1368+P1368)/2</f>
        <v>101.42276422764229</v>
      </c>
      <c r="R1368" s="191" t="s">
        <v>31</v>
      </c>
      <c r="S1368" s="579"/>
      <c r="T1368" s="123"/>
    </row>
    <row r="1369" spans="1:20" s="212" customFormat="1" ht="60" customHeight="1" x14ac:dyDescent="0.35">
      <c r="A1369" s="576"/>
      <c r="B1369" s="600"/>
      <c r="C1369" s="502" t="s">
        <v>28</v>
      </c>
      <c r="D1369" s="146" t="s">
        <v>133</v>
      </c>
      <c r="E1369" s="114"/>
      <c r="F1369" s="114"/>
      <c r="G1369" s="114"/>
      <c r="H1369" s="113"/>
      <c r="I1369" s="113"/>
      <c r="J1369" s="502" t="s">
        <v>28</v>
      </c>
      <c r="K1369" s="146" t="str">
        <f>D1369</f>
        <v>Реализация основных общеобразовательных программ среднего общего образования</v>
      </c>
      <c r="L1369" s="114"/>
      <c r="M1369" s="119"/>
      <c r="N1369" s="119"/>
      <c r="O1369" s="113"/>
      <c r="P1369" s="127"/>
      <c r="Q1369" s="113"/>
      <c r="R1369" s="114"/>
      <c r="S1369" s="579"/>
      <c r="T1369" s="211"/>
    </row>
    <row r="1370" spans="1:20" s="212" customFormat="1" ht="86.25" customHeight="1" x14ac:dyDescent="0.35">
      <c r="A1370" s="576"/>
      <c r="B1370" s="600"/>
      <c r="C1370" s="114" t="s">
        <v>29</v>
      </c>
      <c r="D1370" s="116" t="s">
        <v>134</v>
      </c>
      <c r="E1370" s="114" t="s">
        <v>25</v>
      </c>
      <c r="F1370" s="114">
        <v>100</v>
      </c>
      <c r="G1370" s="114">
        <v>100</v>
      </c>
      <c r="H1370" s="509">
        <f t="shared" ref="H1370:H1374" si="141">IF(G1370/F1370*100&gt;100,100,G1370/F1370*100)</f>
        <v>100</v>
      </c>
      <c r="I1370" s="114"/>
      <c r="J1370" s="118" t="s">
        <v>29</v>
      </c>
      <c r="K1370" s="116" t="s">
        <v>89</v>
      </c>
      <c r="L1370" s="114" t="s">
        <v>38</v>
      </c>
      <c r="M1370" s="114">
        <v>65</v>
      </c>
      <c r="N1370" s="114">
        <v>63</v>
      </c>
      <c r="O1370" s="115">
        <f>IF(N1370/M1370*100&gt;110,110,N1370/M1370*100)</f>
        <v>96.92307692307692</v>
      </c>
      <c r="P1370" s="114"/>
      <c r="Q1370" s="113"/>
      <c r="R1370" s="114"/>
      <c r="S1370" s="579"/>
      <c r="T1370" s="211"/>
    </row>
    <row r="1371" spans="1:20" s="212" customFormat="1" x14ac:dyDescent="0.35">
      <c r="A1371" s="576"/>
      <c r="B1371" s="600"/>
      <c r="C1371" s="114" t="s">
        <v>30</v>
      </c>
      <c r="D1371" s="116" t="s">
        <v>560</v>
      </c>
      <c r="E1371" s="114" t="s">
        <v>25</v>
      </c>
      <c r="F1371" s="114">
        <v>100</v>
      </c>
      <c r="G1371" s="114">
        <v>100</v>
      </c>
      <c r="H1371" s="509">
        <f t="shared" si="141"/>
        <v>100</v>
      </c>
      <c r="I1371" s="114"/>
      <c r="J1371" s="118"/>
      <c r="K1371" s="116"/>
      <c r="L1371" s="114"/>
      <c r="M1371" s="119"/>
      <c r="N1371" s="119"/>
      <c r="O1371" s="115"/>
      <c r="P1371" s="127"/>
      <c r="Q1371" s="113"/>
      <c r="R1371" s="114"/>
      <c r="S1371" s="579"/>
      <c r="T1371" s="211"/>
    </row>
    <row r="1372" spans="1:20" s="212" customFormat="1" ht="43.5" customHeight="1" x14ac:dyDescent="0.35">
      <c r="A1372" s="576"/>
      <c r="B1372" s="600"/>
      <c r="C1372" s="114" t="s">
        <v>52</v>
      </c>
      <c r="D1372" s="116" t="s">
        <v>468</v>
      </c>
      <c r="E1372" s="114" t="s">
        <v>25</v>
      </c>
      <c r="F1372" s="114">
        <v>100</v>
      </c>
      <c r="G1372" s="114">
        <v>100</v>
      </c>
      <c r="H1372" s="509">
        <f t="shared" si="141"/>
        <v>100</v>
      </c>
      <c r="I1372" s="114"/>
      <c r="J1372" s="118"/>
      <c r="K1372" s="116"/>
      <c r="L1372" s="114"/>
      <c r="M1372" s="119"/>
      <c r="N1372" s="119"/>
      <c r="O1372" s="115"/>
      <c r="P1372" s="127"/>
      <c r="Q1372" s="113"/>
      <c r="R1372" s="114"/>
      <c r="S1372" s="579"/>
      <c r="T1372" s="211"/>
    </row>
    <row r="1373" spans="1:20" s="212" customFormat="1" ht="59.25" customHeight="1" x14ac:dyDescent="0.35">
      <c r="A1373" s="576"/>
      <c r="B1373" s="600"/>
      <c r="C1373" s="114" t="s">
        <v>53</v>
      </c>
      <c r="D1373" s="116" t="s">
        <v>390</v>
      </c>
      <c r="E1373" s="114" t="s">
        <v>25</v>
      </c>
      <c r="F1373" s="114">
        <v>90</v>
      </c>
      <c r="G1373" s="114">
        <v>100</v>
      </c>
      <c r="H1373" s="509">
        <f t="shared" si="141"/>
        <v>100</v>
      </c>
      <c r="I1373" s="114"/>
      <c r="J1373" s="118"/>
      <c r="K1373" s="116"/>
      <c r="L1373" s="114"/>
      <c r="M1373" s="119"/>
      <c r="N1373" s="119"/>
      <c r="O1373" s="115"/>
      <c r="P1373" s="127"/>
      <c r="Q1373" s="113"/>
      <c r="R1373" s="114"/>
      <c r="S1373" s="579"/>
      <c r="T1373" s="211"/>
    </row>
    <row r="1374" spans="1:20" s="212" customFormat="1" ht="123" customHeight="1" x14ac:dyDescent="0.35">
      <c r="A1374" s="576"/>
      <c r="B1374" s="600"/>
      <c r="C1374" s="114" t="s">
        <v>135</v>
      </c>
      <c r="D1374" s="116" t="s">
        <v>130</v>
      </c>
      <c r="E1374" s="114" t="s">
        <v>25</v>
      </c>
      <c r="F1374" s="114">
        <v>100</v>
      </c>
      <c r="G1374" s="114">
        <v>100</v>
      </c>
      <c r="H1374" s="509">
        <f t="shared" si="141"/>
        <v>100</v>
      </c>
      <c r="I1374" s="114"/>
      <c r="J1374" s="118"/>
      <c r="K1374" s="116"/>
      <c r="L1374" s="114"/>
      <c r="M1374" s="119"/>
      <c r="N1374" s="119"/>
      <c r="O1374" s="115"/>
      <c r="P1374" s="127"/>
      <c r="Q1374" s="113"/>
      <c r="R1374" s="114"/>
      <c r="S1374" s="579"/>
      <c r="T1374" s="211"/>
    </row>
    <row r="1375" spans="1:20" s="124" customFormat="1" ht="40.5" customHeight="1" x14ac:dyDescent="0.35">
      <c r="A1375" s="576"/>
      <c r="B1375" s="600"/>
      <c r="C1375" s="191"/>
      <c r="D1375" s="183" t="s">
        <v>6</v>
      </c>
      <c r="E1375" s="191"/>
      <c r="F1375" s="184"/>
      <c r="G1375" s="184"/>
      <c r="H1375" s="187"/>
      <c r="I1375" s="187">
        <f>(H1370+H1371+H1372+H1373+H1374)/5</f>
        <v>100</v>
      </c>
      <c r="J1375" s="182"/>
      <c r="K1375" s="183" t="s">
        <v>6</v>
      </c>
      <c r="L1375" s="184"/>
      <c r="M1375" s="188"/>
      <c r="N1375" s="188"/>
      <c r="O1375" s="187"/>
      <c r="P1375" s="187">
        <f>O1370</f>
        <v>96.92307692307692</v>
      </c>
      <c r="Q1375" s="187">
        <f>(I1375+P1375)/2</f>
        <v>98.461538461538453</v>
      </c>
      <c r="R1375" s="191" t="s">
        <v>361</v>
      </c>
      <c r="S1375" s="579"/>
      <c r="T1375" s="123"/>
    </row>
    <row r="1376" spans="1:20" s="212" customFormat="1" x14ac:dyDescent="0.35">
      <c r="A1376" s="576"/>
      <c r="B1376" s="600"/>
      <c r="C1376" s="502" t="s">
        <v>42</v>
      </c>
      <c r="D1376" s="146" t="s">
        <v>90</v>
      </c>
      <c r="E1376" s="114"/>
      <c r="F1376" s="114"/>
      <c r="G1376" s="114"/>
      <c r="H1376" s="113"/>
      <c r="I1376" s="113"/>
      <c r="J1376" s="502" t="s">
        <v>42</v>
      </c>
      <c r="K1376" s="146" t="s">
        <v>90</v>
      </c>
      <c r="L1376" s="114"/>
      <c r="M1376" s="119"/>
      <c r="N1376" s="119"/>
      <c r="O1376" s="113"/>
      <c r="P1376" s="127"/>
      <c r="Q1376" s="113"/>
      <c r="R1376" s="114"/>
      <c r="S1376" s="579"/>
      <c r="T1376" s="211"/>
    </row>
    <row r="1377" spans="1:20" s="212" customFormat="1" ht="42.75" customHeight="1" x14ac:dyDescent="0.35">
      <c r="A1377" s="576"/>
      <c r="B1377" s="600"/>
      <c r="C1377" s="114" t="s">
        <v>43</v>
      </c>
      <c r="D1377" s="116" t="s">
        <v>136</v>
      </c>
      <c r="E1377" s="114" t="s">
        <v>25</v>
      </c>
      <c r="F1377" s="114">
        <v>100</v>
      </c>
      <c r="G1377" s="114">
        <v>100</v>
      </c>
      <c r="H1377" s="509">
        <f t="shared" ref="H1377:H1378" si="142">IF(G1377/F1377*100&gt;100,100,G1377/F1377*100)</f>
        <v>100</v>
      </c>
      <c r="I1377" s="114"/>
      <c r="J1377" s="118" t="s">
        <v>43</v>
      </c>
      <c r="K1377" s="116" t="s">
        <v>89</v>
      </c>
      <c r="L1377" s="114" t="s">
        <v>38</v>
      </c>
      <c r="M1377" s="114">
        <v>58</v>
      </c>
      <c r="N1377" s="114">
        <v>59</v>
      </c>
      <c r="O1377" s="115">
        <f>IF(N1377/M1377*100&gt;110,110,N1377/M1377*100)</f>
        <v>101.72413793103448</v>
      </c>
      <c r="P1377" s="127"/>
      <c r="Q1377" s="113"/>
      <c r="R1377" s="114"/>
      <c r="S1377" s="579"/>
      <c r="T1377" s="211"/>
    </row>
    <row r="1378" spans="1:20" s="212" customFormat="1" ht="81.75" customHeight="1" x14ac:dyDescent="0.35">
      <c r="A1378" s="576"/>
      <c r="B1378" s="600"/>
      <c r="C1378" s="114" t="s">
        <v>137</v>
      </c>
      <c r="D1378" s="116" t="s">
        <v>138</v>
      </c>
      <c r="E1378" s="114" t="s">
        <v>25</v>
      </c>
      <c r="F1378" s="114">
        <v>90</v>
      </c>
      <c r="G1378" s="114">
        <v>100</v>
      </c>
      <c r="H1378" s="509">
        <f t="shared" si="142"/>
        <v>100</v>
      </c>
      <c r="I1378" s="114"/>
      <c r="J1378" s="118"/>
      <c r="K1378" s="116"/>
      <c r="L1378" s="114"/>
      <c r="M1378" s="119"/>
      <c r="N1378" s="119"/>
      <c r="O1378" s="115"/>
      <c r="P1378" s="127"/>
      <c r="Q1378" s="113"/>
      <c r="R1378" s="114"/>
      <c r="S1378" s="579"/>
      <c r="T1378" s="211"/>
    </row>
    <row r="1379" spans="1:20" s="124" customFormat="1" ht="40.5" customHeight="1" x14ac:dyDescent="0.35">
      <c r="A1379" s="576"/>
      <c r="B1379" s="600"/>
      <c r="C1379" s="191"/>
      <c r="D1379" s="183" t="s">
        <v>6</v>
      </c>
      <c r="E1379" s="191"/>
      <c r="F1379" s="184"/>
      <c r="G1379" s="184"/>
      <c r="H1379" s="187"/>
      <c r="I1379" s="187">
        <f>(H1377+H1378)/2</f>
        <v>100</v>
      </c>
      <c r="J1379" s="182"/>
      <c r="K1379" s="183" t="s">
        <v>6</v>
      </c>
      <c r="L1379" s="184"/>
      <c r="M1379" s="188"/>
      <c r="N1379" s="188"/>
      <c r="O1379" s="187"/>
      <c r="P1379" s="187">
        <f>O1377</f>
        <v>101.72413793103448</v>
      </c>
      <c r="Q1379" s="187">
        <f>(I1379+P1379)/2</f>
        <v>100.86206896551724</v>
      </c>
      <c r="R1379" s="191" t="s">
        <v>31</v>
      </c>
      <c r="S1379" s="579"/>
      <c r="T1379" s="123"/>
    </row>
    <row r="1380" spans="1:20" s="212" customFormat="1" ht="59.25" customHeight="1" x14ac:dyDescent="0.35">
      <c r="A1380" s="576"/>
      <c r="B1380" s="600"/>
      <c r="C1380" s="502" t="s">
        <v>164</v>
      </c>
      <c r="D1380" s="146" t="s">
        <v>211</v>
      </c>
      <c r="E1380" s="114"/>
      <c r="F1380" s="114"/>
      <c r="G1380" s="114"/>
      <c r="H1380" s="113"/>
      <c r="I1380" s="113"/>
      <c r="J1380" s="502" t="s">
        <v>164</v>
      </c>
      <c r="K1380" s="146" t="str">
        <f>D1380</f>
        <v>Реализация дополнительных общеразвивающих программ</v>
      </c>
      <c r="L1380" s="114"/>
      <c r="M1380" s="119"/>
      <c r="N1380" s="119"/>
      <c r="O1380" s="113"/>
      <c r="P1380" s="127"/>
      <c r="Q1380" s="113"/>
      <c r="R1380" s="114"/>
      <c r="S1380" s="579"/>
      <c r="T1380" s="211"/>
    </row>
    <row r="1381" spans="1:20" s="212" customFormat="1" ht="80.25" customHeight="1" x14ac:dyDescent="0.35">
      <c r="A1381" s="576"/>
      <c r="B1381" s="600"/>
      <c r="C1381" s="114" t="s">
        <v>165</v>
      </c>
      <c r="D1381" s="116" t="s">
        <v>138</v>
      </c>
      <c r="E1381" s="114" t="s">
        <v>25</v>
      </c>
      <c r="F1381" s="114">
        <v>90</v>
      </c>
      <c r="G1381" s="114">
        <v>100</v>
      </c>
      <c r="H1381" s="509">
        <f>IF(G1381/F1381*100&gt;100,100,G1381/F1381*100)</f>
        <v>100</v>
      </c>
      <c r="I1381" s="114"/>
      <c r="J1381" s="118" t="str">
        <f>C1381</f>
        <v>5.1.</v>
      </c>
      <c r="K1381" s="116" t="s">
        <v>469</v>
      </c>
      <c r="L1381" s="114" t="s">
        <v>339</v>
      </c>
      <c r="M1381" s="114">
        <v>34231</v>
      </c>
      <c r="N1381" s="114">
        <v>34697</v>
      </c>
      <c r="O1381" s="115">
        <f>IF(N1381/M1381*100&gt;110,110,N1381/M1381*100)</f>
        <v>101.36133913703954</v>
      </c>
      <c r="P1381" s="127"/>
      <c r="Q1381" s="113"/>
      <c r="R1381" s="114"/>
      <c r="S1381" s="579"/>
      <c r="T1381" s="211"/>
    </row>
    <row r="1382" spans="1:20" s="124" customFormat="1" ht="36.75" customHeight="1" x14ac:dyDescent="0.35">
      <c r="A1382" s="576"/>
      <c r="B1382" s="600"/>
      <c r="C1382" s="191"/>
      <c r="D1382" s="183" t="s">
        <v>6</v>
      </c>
      <c r="E1382" s="191"/>
      <c r="F1382" s="184"/>
      <c r="G1382" s="184"/>
      <c r="H1382" s="187"/>
      <c r="I1382" s="187">
        <f>H1381</f>
        <v>100</v>
      </c>
      <c r="J1382" s="182"/>
      <c r="K1382" s="183" t="s">
        <v>6</v>
      </c>
      <c r="L1382" s="184"/>
      <c r="M1382" s="188"/>
      <c r="N1382" s="188"/>
      <c r="O1382" s="187"/>
      <c r="P1382" s="187">
        <f>O1381</f>
        <v>101.36133913703954</v>
      </c>
      <c r="Q1382" s="187">
        <f>(I1382+P1382)/2</f>
        <v>100.68066956851976</v>
      </c>
      <c r="R1382" s="191" t="s">
        <v>31</v>
      </c>
      <c r="S1382" s="579"/>
      <c r="T1382" s="123"/>
    </row>
    <row r="1383" spans="1:20" s="212" customFormat="1" ht="63.75" customHeight="1" x14ac:dyDescent="0.35">
      <c r="A1383" s="576">
        <v>73</v>
      </c>
      <c r="B1383" s="600" t="s">
        <v>185</v>
      </c>
      <c r="C1383" s="502" t="s">
        <v>12</v>
      </c>
      <c r="D1383" s="146" t="s">
        <v>128</v>
      </c>
      <c r="E1383" s="502"/>
      <c r="F1383" s="502"/>
      <c r="G1383" s="502"/>
      <c r="H1383" s="113"/>
      <c r="I1383" s="113"/>
      <c r="J1383" s="502" t="s">
        <v>12</v>
      </c>
      <c r="K1383" s="146" t="s">
        <v>128</v>
      </c>
      <c r="L1383" s="114"/>
      <c r="M1383" s="114"/>
      <c r="N1383" s="114"/>
      <c r="O1383" s="113"/>
      <c r="P1383" s="127"/>
      <c r="Q1383" s="113"/>
      <c r="R1383" s="114"/>
      <c r="S1383" s="579" t="s">
        <v>280</v>
      </c>
      <c r="T1383" s="211"/>
    </row>
    <row r="1384" spans="1:20" s="212" customFormat="1" ht="77.25" customHeight="1" x14ac:dyDescent="0.35">
      <c r="A1384" s="576"/>
      <c r="B1384" s="600"/>
      <c r="C1384" s="114" t="s">
        <v>7</v>
      </c>
      <c r="D1384" s="116" t="s">
        <v>129</v>
      </c>
      <c r="E1384" s="114" t="s">
        <v>25</v>
      </c>
      <c r="F1384" s="114">
        <v>100</v>
      </c>
      <c r="G1384" s="114">
        <v>100</v>
      </c>
      <c r="H1384" s="509">
        <f t="shared" ref="H1384:H1388" si="143">IF(G1384/F1384*100&gt;100,100,G1384/F1384*100)</f>
        <v>100</v>
      </c>
      <c r="I1384" s="114"/>
      <c r="J1384" s="114" t="s">
        <v>7</v>
      </c>
      <c r="K1384" s="116" t="s">
        <v>89</v>
      </c>
      <c r="L1384" s="114" t="s">
        <v>38</v>
      </c>
      <c r="M1384" s="114">
        <v>306</v>
      </c>
      <c r="N1384" s="114">
        <v>305</v>
      </c>
      <c r="O1384" s="115">
        <f>IF(N1384/M1384*100&gt;110,110,N1384/M1384*100)</f>
        <v>99.673202614379079</v>
      </c>
      <c r="P1384" s="127"/>
      <c r="Q1384" s="113"/>
      <c r="R1384" s="114"/>
      <c r="S1384" s="579"/>
      <c r="T1384" s="211"/>
    </row>
    <row r="1385" spans="1:20" s="212" customFormat="1" ht="45" customHeight="1" x14ac:dyDescent="0.35">
      <c r="A1385" s="576"/>
      <c r="B1385" s="600"/>
      <c r="C1385" s="114" t="s">
        <v>8</v>
      </c>
      <c r="D1385" s="116" t="s">
        <v>561</v>
      </c>
      <c r="E1385" s="114" t="s">
        <v>25</v>
      </c>
      <c r="F1385" s="114">
        <v>100</v>
      </c>
      <c r="G1385" s="114">
        <v>100</v>
      </c>
      <c r="H1385" s="509">
        <f t="shared" si="143"/>
        <v>100</v>
      </c>
      <c r="I1385" s="114"/>
      <c r="J1385" s="114"/>
      <c r="K1385" s="503"/>
      <c r="L1385" s="114"/>
      <c r="M1385" s="117"/>
      <c r="N1385" s="117"/>
      <c r="O1385" s="115"/>
      <c r="P1385" s="127"/>
      <c r="Q1385" s="113"/>
      <c r="R1385" s="114"/>
      <c r="S1385" s="579"/>
      <c r="T1385" s="211"/>
    </row>
    <row r="1386" spans="1:20" s="212" customFormat="1" ht="42.75" customHeight="1" x14ac:dyDescent="0.35">
      <c r="A1386" s="576"/>
      <c r="B1386" s="600"/>
      <c r="C1386" s="114" t="s">
        <v>9</v>
      </c>
      <c r="D1386" s="116" t="s">
        <v>468</v>
      </c>
      <c r="E1386" s="114" t="s">
        <v>25</v>
      </c>
      <c r="F1386" s="114">
        <v>100</v>
      </c>
      <c r="G1386" s="114">
        <v>100</v>
      </c>
      <c r="H1386" s="509">
        <f t="shared" si="143"/>
        <v>100</v>
      </c>
      <c r="I1386" s="114"/>
      <c r="J1386" s="118"/>
      <c r="K1386" s="116"/>
      <c r="L1386" s="114"/>
      <c r="M1386" s="119"/>
      <c r="N1386" s="119"/>
      <c r="O1386" s="115"/>
      <c r="P1386" s="127"/>
      <c r="Q1386" s="113"/>
      <c r="R1386" s="114"/>
      <c r="S1386" s="579"/>
      <c r="T1386" s="211"/>
    </row>
    <row r="1387" spans="1:20" s="212" customFormat="1" ht="68.25" customHeight="1" x14ac:dyDescent="0.35">
      <c r="A1387" s="576"/>
      <c r="B1387" s="600"/>
      <c r="C1387" s="114" t="s">
        <v>10</v>
      </c>
      <c r="D1387" s="116" t="s">
        <v>390</v>
      </c>
      <c r="E1387" s="114" t="s">
        <v>25</v>
      </c>
      <c r="F1387" s="114">
        <v>90</v>
      </c>
      <c r="G1387" s="114">
        <v>100</v>
      </c>
      <c r="H1387" s="509">
        <f t="shared" si="143"/>
        <v>100</v>
      </c>
      <c r="I1387" s="114"/>
      <c r="J1387" s="118"/>
      <c r="K1387" s="116"/>
      <c r="L1387" s="114"/>
      <c r="M1387" s="119"/>
      <c r="N1387" s="119"/>
      <c r="O1387" s="115"/>
      <c r="P1387" s="127"/>
      <c r="Q1387" s="113"/>
      <c r="R1387" s="114"/>
      <c r="S1387" s="579"/>
      <c r="T1387" s="211"/>
    </row>
    <row r="1388" spans="1:20" s="212" customFormat="1" ht="122.25" customHeight="1" x14ac:dyDescent="0.35">
      <c r="A1388" s="576"/>
      <c r="B1388" s="600"/>
      <c r="C1388" s="114" t="s">
        <v>35</v>
      </c>
      <c r="D1388" s="116" t="s">
        <v>130</v>
      </c>
      <c r="E1388" s="114" t="s">
        <v>25</v>
      </c>
      <c r="F1388" s="114">
        <v>100</v>
      </c>
      <c r="G1388" s="114">
        <v>100</v>
      </c>
      <c r="H1388" s="509">
        <f t="shared" si="143"/>
        <v>100</v>
      </c>
      <c r="I1388" s="114"/>
      <c r="J1388" s="118"/>
      <c r="K1388" s="116"/>
      <c r="L1388" s="114"/>
      <c r="M1388" s="119"/>
      <c r="N1388" s="119"/>
      <c r="O1388" s="115"/>
      <c r="P1388" s="127"/>
      <c r="Q1388" s="113"/>
      <c r="R1388" s="114"/>
      <c r="S1388" s="579"/>
      <c r="T1388" s="211"/>
    </row>
    <row r="1389" spans="1:20" s="124" customFormat="1" ht="40.5" customHeight="1" x14ac:dyDescent="0.35">
      <c r="A1389" s="576"/>
      <c r="B1389" s="600"/>
      <c r="C1389" s="191"/>
      <c r="D1389" s="183" t="s">
        <v>6</v>
      </c>
      <c r="E1389" s="191"/>
      <c r="F1389" s="184"/>
      <c r="G1389" s="184"/>
      <c r="H1389" s="187"/>
      <c r="I1389" s="187">
        <f>(H1384+H1385+H1386+H1387+H1388)/5</f>
        <v>100</v>
      </c>
      <c r="J1389" s="182"/>
      <c r="K1389" s="183" t="s">
        <v>6</v>
      </c>
      <c r="L1389" s="184"/>
      <c r="M1389" s="188"/>
      <c r="N1389" s="188"/>
      <c r="O1389" s="187"/>
      <c r="P1389" s="187">
        <f>O1384</f>
        <v>99.673202614379079</v>
      </c>
      <c r="Q1389" s="187">
        <f>(I1389+P1389)/2</f>
        <v>99.83660130718954</v>
      </c>
      <c r="R1389" s="191" t="s">
        <v>361</v>
      </c>
      <c r="S1389" s="579"/>
      <c r="T1389" s="123"/>
    </row>
    <row r="1390" spans="1:20" s="212" customFormat="1" ht="60" customHeight="1" x14ac:dyDescent="0.35">
      <c r="A1390" s="576"/>
      <c r="B1390" s="600"/>
      <c r="C1390" s="502" t="s">
        <v>13</v>
      </c>
      <c r="D1390" s="146" t="s">
        <v>131</v>
      </c>
      <c r="E1390" s="114"/>
      <c r="F1390" s="114"/>
      <c r="G1390" s="114"/>
      <c r="H1390" s="113"/>
      <c r="I1390" s="113"/>
      <c r="J1390" s="502" t="s">
        <v>13</v>
      </c>
      <c r="K1390" s="146" t="s">
        <v>131</v>
      </c>
      <c r="L1390" s="114"/>
      <c r="M1390" s="119"/>
      <c r="N1390" s="119"/>
      <c r="O1390" s="113"/>
      <c r="P1390" s="127"/>
      <c r="Q1390" s="113"/>
      <c r="R1390" s="114"/>
      <c r="S1390" s="579"/>
      <c r="T1390" s="211"/>
    </row>
    <row r="1391" spans="1:20" s="212" customFormat="1" ht="73.5" customHeight="1" x14ac:dyDescent="0.35">
      <c r="A1391" s="576"/>
      <c r="B1391" s="600"/>
      <c r="C1391" s="114" t="s">
        <v>14</v>
      </c>
      <c r="D1391" s="116" t="s">
        <v>132</v>
      </c>
      <c r="E1391" s="114" t="s">
        <v>25</v>
      </c>
      <c r="F1391" s="114">
        <v>100</v>
      </c>
      <c r="G1391" s="114">
        <v>100</v>
      </c>
      <c r="H1391" s="509">
        <f t="shared" ref="H1391:H1395" si="144">IF(G1391/F1391*100&gt;100,100,G1391/F1391*100)</f>
        <v>100</v>
      </c>
      <c r="I1391" s="114"/>
      <c r="J1391" s="118" t="s">
        <v>14</v>
      </c>
      <c r="K1391" s="116" t="s">
        <v>89</v>
      </c>
      <c r="L1391" s="114" t="s">
        <v>38</v>
      </c>
      <c r="M1391" s="114">
        <v>326</v>
      </c>
      <c r="N1391" s="114">
        <v>331</v>
      </c>
      <c r="O1391" s="115">
        <f>IF(N1391/M1391*100&gt;110,110,N1391/M1391*100)</f>
        <v>101.53374233128834</v>
      </c>
      <c r="P1391" s="114"/>
      <c r="Q1391" s="113"/>
      <c r="R1391" s="114"/>
      <c r="S1391" s="579"/>
      <c r="T1391" s="211"/>
    </row>
    <row r="1392" spans="1:20" s="212" customFormat="1" ht="45" customHeight="1" x14ac:dyDescent="0.35">
      <c r="A1392" s="576"/>
      <c r="B1392" s="600"/>
      <c r="C1392" s="114" t="s">
        <v>15</v>
      </c>
      <c r="D1392" s="116" t="s">
        <v>559</v>
      </c>
      <c r="E1392" s="114" t="s">
        <v>25</v>
      </c>
      <c r="F1392" s="114">
        <v>100</v>
      </c>
      <c r="G1392" s="114">
        <v>100</v>
      </c>
      <c r="H1392" s="509">
        <f t="shared" si="144"/>
        <v>100</v>
      </c>
      <c r="I1392" s="114"/>
      <c r="J1392" s="118"/>
      <c r="K1392" s="116"/>
      <c r="L1392" s="114"/>
      <c r="M1392" s="119"/>
      <c r="N1392" s="119"/>
      <c r="O1392" s="115"/>
      <c r="P1392" s="127"/>
      <c r="Q1392" s="113"/>
      <c r="R1392" s="114"/>
      <c r="S1392" s="579"/>
      <c r="T1392" s="211"/>
    </row>
    <row r="1393" spans="1:20" s="212" customFormat="1" ht="49.5" customHeight="1" x14ac:dyDescent="0.35">
      <c r="A1393" s="576"/>
      <c r="B1393" s="600"/>
      <c r="C1393" s="114" t="s">
        <v>39</v>
      </c>
      <c r="D1393" s="116" t="s">
        <v>468</v>
      </c>
      <c r="E1393" s="114" t="s">
        <v>25</v>
      </c>
      <c r="F1393" s="114">
        <v>100</v>
      </c>
      <c r="G1393" s="114">
        <v>100</v>
      </c>
      <c r="H1393" s="509">
        <f t="shared" si="144"/>
        <v>100</v>
      </c>
      <c r="I1393" s="114"/>
      <c r="J1393" s="118"/>
      <c r="K1393" s="116"/>
      <c r="L1393" s="114"/>
      <c r="M1393" s="119"/>
      <c r="N1393" s="119"/>
      <c r="O1393" s="115"/>
      <c r="P1393" s="127"/>
      <c r="Q1393" s="113"/>
      <c r="R1393" s="114"/>
      <c r="S1393" s="579"/>
      <c r="T1393" s="211"/>
    </row>
    <row r="1394" spans="1:20" s="212" customFormat="1" ht="61.5" customHeight="1" x14ac:dyDescent="0.35">
      <c r="A1394" s="576"/>
      <c r="B1394" s="600"/>
      <c r="C1394" s="114" t="s">
        <v>45</v>
      </c>
      <c r="D1394" s="116" t="s">
        <v>390</v>
      </c>
      <c r="E1394" s="114" t="s">
        <v>25</v>
      </c>
      <c r="F1394" s="114">
        <v>90</v>
      </c>
      <c r="G1394" s="114">
        <v>100</v>
      </c>
      <c r="H1394" s="509">
        <f t="shared" si="144"/>
        <v>100</v>
      </c>
      <c r="I1394" s="114"/>
      <c r="J1394" s="118"/>
      <c r="K1394" s="116"/>
      <c r="L1394" s="114"/>
      <c r="M1394" s="119"/>
      <c r="N1394" s="119"/>
      <c r="O1394" s="115"/>
      <c r="P1394" s="127"/>
      <c r="Q1394" s="113"/>
      <c r="R1394" s="114"/>
      <c r="S1394" s="579"/>
      <c r="T1394" s="211"/>
    </row>
    <row r="1395" spans="1:20" s="212" customFormat="1" ht="123.75" customHeight="1" x14ac:dyDescent="0.35">
      <c r="A1395" s="576"/>
      <c r="B1395" s="600"/>
      <c r="C1395" s="114" t="s">
        <v>66</v>
      </c>
      <c r="D1395" s="116" t="s">
        <v>130</v>
      </c>
      <c r="E1395" s="114" t="s">
        <v>25</v>
      </c>
      <c r="F1395" s="114">
        <v>100</v>
      </c>
      <c r="G1395" s="114">
        <v>100</v>
      </c>
      <c r="H1395" s="509">
        <f t="shared" si="144"/>
        <v>100</v>
      </c>
      <c r="I1395" s="114"/>
      <c r="J1395" s="118"/>
      <c r="K1395" s="116"/>
      <c r="L1395" s="114"/>
      <c r="M1395" s="119"/>
      <c r="N1395" s="119"/>
      <c r="O1395" s="115"/>
      <c r="P1395" s="127"/>
      <c r="Q1395" s="113"/>
      <c r="R1395" s="114"/>
      <c r="S1395" s="579"/>
      <c r="T1395" s="211"/>
    </row>
    <row r="1396" spans="1:20" s="124" customFormat="1" ht="40.5" customHeight="1" x14ac:dyDescent="0.35">
      <c r="A1396" s="576"/>
      <c r="B1396" s="600"/>
      <c r="C1396" s="191"/>
      <c r="D1396" s="183" t="s">
        <v>6</v>
      </c>
      <c r="E1396" s="191"/>
      <c r="F1396" s="184"/>
      <c r="G1396" s="184"/>
      <c r="H1396" s="187"/>
      <c r="I1396" s="187">
        <f>(H1391+H1392+H1393+H1394+H1395)/5</f>
        <v>100</v>
      </c>
      <c r="J1396" s="182"/>
      <c r="K1396" s="183" t="s">
        <v>6</v>
      </c>
      <c r="L1396" s="184"/>
      <c r="M1396" s="188"/>
      <c r="N1396" s="188"/>
      <c r="O1396" s="187"/>
      <c r="P1396" s="187">
        <f>O1391</f>
        <v>101.53374233128834</v>
      </c>
      <c r="Q1396" s="187">
        <f>(I1396+P1396)/2</f>
        <v>100.76687116564418</v>
      </c>
      <c r="R1396" s="191" t="s">
        <v>31</v>
      </c>
      <c r="S1396" s="579"/>
      <c r="T1396" s="123"/>
    </row>
    <row r="1397" spans="1:20" s="212" customFormat="1" ht="67.5" customHeight="1" x14ac:dyDescent="0.35">
      <c r="A1397" s="576"/>
      <c r="B1397" s="600"/>
      <c r="C1397" s="502" t="s">
        <v>28</v>
      </c>
      <c r="D1397" s="146" t="s">
        <v>133</v>
      </c>
      <c r="E1397" s="114"/>
      <c r="F1397" s="114"/>
      <c r="G1397" s="114"/>
      <c r="H1397" s="113"/>
      <c r="I1397" s="113"/>
      <c r="J1397" s="502" t="s">
        <v>28</v>
      </c>
      <c r="K1397" s="146" t="str">
        <f>D1397</f>
        <v>Реализация основных общеобразовательных программ среднего общего образования</v>
      </c>
      <c r="L1397" s="114"/>
      <c r="M1397" s="119"/>
      <c r="N1397" s="119"/>
      <c r="O1397" s="113"/>
      <c r="P1397" s="127"/>
      <c r="Q1397" s="113"/>
      <c r="R1397" s="114"/>
      <c r="S1397" s="579"/>
      <c r="T1397" s="211"/>
    </row>
    <row r="1398" spans="1:20" s="212" customFormat="1" ht="67.5" customHeight="1" x14ac:dyDescent="0.35">
      <c r="A1398" s="576"/>
      <c r="B1398" s="600"/>
      <c r="C1398" s="114" t="s">
        <v>29</v>
      </c>
      <c r="D1398" s="116" t="s">
        <v>134</v>
      </c>
      <c r="E1398" s="114" t="s">
        <v>25</v>
      </c>
      <c r="F1398" s="114">
        <v>100</v>
      </c>
      <c r="G1398" s="114">
        <v>100</v>
      </c>
      <c r="H1398" s="509">
        <f t="shared" ref="H1398:H1402" si="145">IF(G1398/F1398*100&gt;100,100,G1398/F1398*100)</f>
        <v>100</v>
      </c>
      <c r="I1398" s="114"/>
      <c r="J1398" s="118" t="s">
        <v>29</v>
      </c>
      <c r="K1398" s="116" t="s">
        <v>89</v>
      </c>
      <c r="L1398" s="114" t="s">
        <v>38</v>
      </c>
      <c r="M1398" s="114">
        <v>56</v>
      </c>
      <c r="N1398" s="114">
        <v>55</v>
      </c>
      <c r="O1398" s="115">
        <f>IF(N1398/M1398*100&gt;110,110,N1398/M1398*100)</f>
        <v>98.214285714285708</v>
      </c>
      <c r="P1398" s="114"/>
      <c r="Q1398" s="113"/>
      <c r="R1398" s="114"/>
      <c r="S1398" s="579"/>
      <c r="T1398" s="211"/>
    </row>
    <row r="1399" spans="1:20" s="212" customFormat="1" ht="45" customHeight="1" x14ac:dyDescent="0.35">
      <c r="A1399" s="576"/>
      <c r="B1399" s="600"/>
      <c r="C1399" s="114" t="s">
        <v>30</v>
      </c>
      <c r="D1399" s="116" t="s">
        <v>560</v>
      </c>
      <c r="E1399" s="114" t="s">
        <v>25</v>
      </c>
      <c r="F1399" s="114">
        <v>100</v>
      </c>
      <c r="G1399" s="114">
        <v>100</v>
      </c>
      <c r="H1399" s="509">
        <f t="shared" si="145"/>
        <v>100</v>
      </c>
      <c r="I1399" s="114"/>
      <c r="J1399" s="118"/>
      <c r="K1399" s="116"/>
      <c r="L1399" s="114"/>
      <c r="M1399" s="119"/>
      <c r="N1399" s="119"/>
      <c r="O1399" s="115"/>
      <c r="P1399" s="127"/>
      <c r="Q1399" s="113"/>
      <c r="R1399" s="114"/>
      <c r="S1399" s="579"/>
      <c r="T1399" s="211"/>
    </row>
    <row r="1400" spans="1:20" s="212" customFormat="1" ht="45.75" customHeight="1" x14ac:dyDescent="0.35">
      <c r="A1400" s="576"/>
      <c r="B1400" s="600"/>
      <c r="C1400" s="114" t="s">
        <v>52</v>
      </c>
      <c r="D1400" s="116" t="s">
        <v>468</v>
      </c>
      <c r="E1400" s="114" t="s">
        <v>25</v>
      </c>
      <c r="F1400" s="114">
        <v>100</v>
      </c>
      <c r="G1400" s="114">
        <v>100</v>
      </c>
      <c r="H1400" s="509">
        <f t="shared" si="145"/>
        <v>100</v>
      </c>
      <c r="I1400" s="114"/>
      <c r="J1400" s="118"/>
      <c r="K1400" s="116"/>
      <c r="L1400" s="114"/>
      <c r="M1400" s="119"/>
      <c r="N1400" s="119"/>
      <c r="O1400" s="115"/>
      <c r="P1400" s="127"/>
      <c r="Q1400" s="113"/>
      <c r="R1400" s="114"/>
      <c r="S1400" s="579"/>
      <c r="T1400" s="211"/>
    </row>
    <row r="1401" spans="1:20" s="212" customFormat="1" ht="54" customHeight="1" x14ac:dyDescent="0.35">
      <c r="A1401" s="576"/>
      <c r="B1401" s="600"/>
      <c r="C1401" s="114" t="s">
        <v>53</v>
      </c>
      <c r="D1401" s="116" t="s">
        <v>390</v>
      </c>
      <c r="E1401" s="114" t="s">
        <v>25</v>
      </c>
      <c r="F1401" s="114">
        <v>90</v>
      </c>
      <c r="G1401" s="114">
        <v>100</v>
      </c>
      <c r="H1401" s="509">
        <f t="shared" si="145"/>
        <v>100</v>
      </c>
      <c r="I1401" s="114"/>
      <c r="J1401" s="118"/>
      <c r="K1401" s="116"/>
      <c r="L1401" s="114"/>
      <c r="M1401" s="119"/>
      <c r="N1401" s="119"/>
      <c r="O1401" s="115"/>
      <c r="P1401" s="127"/>
      <c r="Q1401" s="113"/>
      <c r="R1401" s="114"/>
      <c r="S1401" s="579"/>
      <c r="T1401" s="211"/>
    </row>
    <row r="1402" spans="1:20" s="212" customFormat="1" ht="121.5" customHeight="1" x14ac:dyDescent="0.35">
      <c r="A1402" s="576"/>
      <c r="B1402" s="600"/>
      <c r="C1402" s="114" t="s">
        <v>135</v>
      </c>
      <c r="D1402" s="116" t="s">
        <v>130</v>
      </c>
      <c r="E1402" s="114" t="s">
        <v>25</v>
      </c>
      <c r="F1402" s="114">
        <v>100</v>
      </c>
      <c r="G1402" s="114">
        <v>100</v>
      </c>
      <c r="H1402" s="509">
        <f t="shared" si="145"/>
        <v>100</v>
      </c>
      <c r="I1402" s="114"/>
      <c r="J1402" s="118"/>
      <c r="K1402" s="116"/>
      <c r="L1402" s="114"/>
      <c r="M1402" s="119"/>
      <c r="N1402" s="119"/>
      <c r="O1402" s="115"/>
      <c r="P1402" s="127"/>
      <c r="Q1402" s="113"/>
      <c r="R1402" s="114"/>
      <c r="S1402" s="579"/>
      <c r="T1402" s="211"/>
    </row>
    <row r="1403" spans="1:20" s="124" customFormat="1" ht="40.5" customHeight="1" x14ac:dyDescent="0.35">
      <c r="A1403" s="576"/>
      <c r="B1403" s="600"/>
      <c r="C1403" s="191"/>
      <c r="D1403" s="183" t="s">
        <v>6</v>
      </c>
      <c r="E1403" s="191"/>
      <c r="F1403" s="184"/>
      <c r="G1403" s="184"/>
      <c r="H1403" s="187"/>
      <c r="I1403" s="187">
        <f>(H1398+H1399+H1400+H1401+H1402)/5</f>
        <v>100</v>
      </c>
      <c r="J1403" s="182"/>
      <c r="K1403" s="183" t="s">
        <v>6</v>
      </c>
      <c r="L1403" s="184"/>
      <c r="M1403" s="188"/>
      <c r="N1403" s="188"/>
      <c r="O1403" s="187"/>
      <c r="P1403" s="187">
        <f>O1398</f>
        <v>98.214285714285708</v>
      </c>
      <c r="Q1403" s="187">
        <f>(I1403+P1403)/2</f>
        <v>99.107142857142861</v>
      </c>
      <c r="R1403" s="191" t="s">
        <v>361</v>
      </c>
      <c r="S1403" s="579"/>
      <c r="T1403" s="123"/>
    </row>
    <row r="1404" spans="1:20" s="212" customFormat="1" ht="45" customHeight="1" x14ac:dyDescent="0.35">
      <c r="A1404" s="576"/>
      <c r="B1404" s="600"/>
      <c r="C1404" s="502" t="s">
        <v>42</v>
      </c>
      <c r="D1404" s="146" t="s">
        <v>90</v>
      </c>
      <c r="E1404" s="114"/>
      <c r="F1404" s="114"/>
      <c r="G1404" s="114"/>
      <c r="H1404" s="113"/>
      <c r="I1404" s="113"/>
      <c r="J1404" s="502" t="s">
        <v>42</v>
      </c>
      <c r="K1404" s="146" t="s">
        <v>90</v>
      </c>
      <c r="L1404" s="114"/>
      <c r="M1404" s="119"/>
      <c r="N1404" s="119"/>
      <c r="O1404" s="113"/>
      <c r="P1404" s="127"/>
      <c r="Q1404" s="113"/>
      <c r="R1404" s="114"/>
      <c r="S1404" s="579"/>
      <c r="T1404" s="211"/>
    </row>
    <row r="1405" spans="1:20" s="212" customFormat="1" ht="52.5" customHeight="1" x14ac:dyDescent="0.35">
      <c r="A1405" s="576"/>
      <c r="B1405" s="600"/>
      <c r="C1405" s="114" t="s">
        <v>43</v>
      </c>
      <c r="D1405" s="116" t="s">
        <v>136</v>
      </c>
      <c r="E1405" s="114" t="s">
        <v>25</v>
      </c>
      <c r="F1405" s="114">
        <v>100</v>
      </c>
      <c r="G1405" s="114">
        <v>100</v>
      </c>
      <c r="H1405" s="509">
        <f t="shared" ref="H1405:H1406" si="146">IF(G1405/F1405*100&gt;100,100,G1405/F1405*100)</f>
        <v>100</v>
      </c>
      <c r="I1405" s="114"/>
      <c r="J1405" s="118" t="s">
        <v>43</v>
      </c>
      <c r="K1405" s="116" t="s">
        <v>89</v>
      </c>
      <c r="L1405" s="114" t="s">
        <v>38</v>
      </c>
      <c r="M1405" s="114">
        <v>85</v>
      </c>
      <c r="N1405" s="114">
        <v>85</v>
      </c>
      <c r="O1405" s="115">
        <f>IF(N1405/M1405*100&gt;110,110,N1405/M1405*100)</f>
        <v>100</v>
      </c>
      <c r="P1405" s="127"/>
      <c r="Q1405" s="113"/>
      <c r="R1405" s="114"/>
      <c r="S1405" s="579"/>
      <c r="T1405" s="211"/>
    </row>
    <row r="1406" spans="1:20" s="212" customFormat="1" ht="81.75" customHeight="1" x14ac:dyDescent="0.35">
      <c r="A1406" s="576"/>
      <c r="B1406" s="600"/>
      <c r="C1406" s="114" t="s">
        <v>137</v>
      </c>
      <c r="D1406" s="116" t="s">
        <v>138</v>
      </c>
      <c r="E1406" s="114" t="s">
        <v>25</v>
      </c>
      <c r="F1406" s="114">
        <v>90</v>
      </c>
      <c r="G1406" s="114">
        <v>90</v>
      </c>
      <c r="H1406" s="509">
        <f t="shared" si="146"/>
        <v>100</v>
      </c>
      <c r="I1406" s="114"/>
      <c r="J1406" s="118"/>
      <c r="K1406" s="116"/>
      <c r="L1406" s="114"/>
      <c r="M1406" s="119"/>
      <c r="N1406" s="119"/>
      <c r="O1406" s="115"/>
      <c r="P1406" s="127"/>
      <c r="Q1406" s="113"/>
      <c r="R1406" s="114"/>
      <c r="S1406" s="579"/>
      <c r="T1406" s="211"/>
    </row>
    <row r="1407" spans="1:20" s="124" customFormat="1" ht="40.5" customHeight="1" x14ac:dyDescent="0.35">
      <c r="A1407" s="576"/>
      <c r="B1407" s="600"/>
      <c r="C1407" s="191"/>
      <c r="D1407" s="183" t="s">
        <v>6</v>
      </c>
      <c r="E1407" s="191"/>
      <c r="F1407" s="184"/>
      <c r="G1407" s="184"/>
      <c r="H1407" s="187"/>
      <c r="I1407" s="187">
        <f>(H1405+H1406)/2</f>
        <v>100</v>
      </c>
      <c r="J1407" s="182"/>
      <c r="K1407" s="183" t="s">
        <v>6</v>
      </c>
      <c r="L1407" s="184"/>
      <c r="M1407" s="188"/>
      <c r="N1407" s="188"/>
      <c r="O1407" s="187"/>
      <c r="P1407" s="187">
        <f>O1405</f>
        <v>100</v>
      </c>
      <c r="Q1407" s="187">
        <f>(I1407+P1407)/2</f>
        <v>100</v>
      </c>
      <c r="R1407" s="191" t="s">
        <v>31</v>
      </c>
      <c r="S1407" s="579"/>
      <c r="T1407" s="123"/>
    </row>
    <row r="1408" spans="1:20" s="212" customFormat="1" ht="63.75" customHeight="1" x14ac:dyDescent="0.35">
      <c r="A1408" s="576"/>
      <c r="B1408" s="600"/>
      <c r="C1408" s="502" t="s">
        <v>164</v>
      </c>
      <c r="D1408" s="146" t="s">
        <v>211</v>
      </c>
      <c r="E1408" s="114"/>
      <c r="F1408" s="114"/>
      <c r="G1408" s="114"/>
      <c r="H1408" s="113"/>
      <c r="I1408" s="113"/>
      <c r="J1408" s="502" t="s">
        <v>164</v>
      </c>
      <c r="K1408" s="146" t="str">
        <f>D1408</f>
        <v>Реализация дополнительных общеразвивающих программ</v>
      </c>
      <c r="L1408" s="114"/>
      <c r="M1408" s="119"/>
      <c r="N1408" s="119"/>
      <c r="O1408" s="113"/>
      <c r="P1408" s="127"/>
      <c r="Q1408" s="113"/>
      <c r="R1408" s="114"/>
      <c r="S1408" s="579"/>
      <c r="T1408" s="211"/>
    </row>
    <row r="1409" spans="1:20" s="212" customFormat="1" ht="75" customHeight="1" x14ac:dyDescent="0.35">
      <c r="A1409" s="576"/>
      <c r="B1409" s="600"/>
      <c r="C1409" s="114" t="s">
        <v>165</v>
      </c>
      <c r="D1409" s="116" t="s">
        <v>138</v>
      </c>
      <c r="E1409" s="114" t="s">
        <v>25</v>
      </c>
      <c r="F1409" s="114">
        <v>90</v>
      </c>
      <c r="G1409" s="114">
        <v>90</v>
      </c>
      <c r="H1409" s="509">
        <f>IF(G1409/F1409*100&gt;100,100,G1409/F1409*100)</f>
        <v>100</v>
      </c>
      <c r="I1409" s="114"/>
      <c r="J1409" s="118" t="str">
        <f>C1409</f>
        <v>5.1.</v>
      </c>
      <c r="K1409" s="116" t="s">
        <v>469</v>
      </c>
      <c r="L1409" s="114" t="s">
        <v>339</v>
      </c>
      <c r="M1409" s="114">
        <v>56704</v>
      </c>
      <c r="N1409" s="114">
        <v>56704</v>
      </c>
      <c r="O1409" s="115">
        <f>IF(N1409/M1409*100&gt;110,110,N1409/M1409*100)</f>
        <v>100</v>
      </c>
      <c r="P1409" s="127"/>
      <c r="Q1409" s="113"/>
      <c r="R1409" s="114"/>
      <c r="S1409" s="579"/>
      <c r="T1409" s="211"/>
    </row>
    <row r="1410" spans="1:20" s="124" customFormat="1" ht="44.25" customHeight="1" x14ac:dyDescent="0.35">
      <c r="A1410" s="576"/>
      <c r="B1410" s="600"/>
      <c r="C1410" s="191"/>
      <c r="D1410" s="183" t="s">
        <v>6</v>
      </c>
      <c r="E1410" s="191"/>
      <c r="F1410" s="184"/>
      <c r="G1410" s="184"/>
      <c r="H1410" s="187"/>
      <c r="I1410" s="187">
        <f>H1409</f>
        <v>100</v>
      </c>
      <c r="J1410" s="182"/>
      <c r="K1410" s="183" t="s">
        <v>6</v>
      </c>
      <c r="L1410" s="184"/>
      <c r="M1410" s="188"/>
      <c r="N1410" s="188"/>
      <c r="O1410" s="187"/>
      <c r="P1410" s="187">
        <f>O1409</f>
        <v>100</v>
      </c>
      <c r="Q1410" s="187">
        <f>(I1410+P1410)/2</f>
        <v>100</v>
      </c>
      <c r="R1410" s="191" t="s">
        <v>31</v>
      </c>
      <c r="S1410" s="579"/>
      <c r="T1410" s="123"/>
    </row>
    <row r="1411" spans="1:20" s="212" customFormat="1" ht="65.25" customHeight="1" x14ac:dyDescent="0.35">
      <c r="A1411" s="576">
        <v>74</v>
      </c>
      <c r="B1411" s="600" t="s">
        <v>186</v>
      </c>
      <c r="C1411" s="502" t="s">
        <v>12</v>
      </c>
      <c r="D1411" s="146" t="s">
        <v>128</v>
      </c>
      <c r="E1411" s="502"/>
      <c r="F1411" s="502"/>
      <c r="G1411" s="502"/>
      <c r="H1411" s="113"/>
      <c r="I1411" s="113"/>
      <c r="J1411" s="502" t="s">
        <v>12</v>
      </c>
      <c r="K1411" s="146" t="s">
        <v>128</v>
      </c>
      <c r="L1411" s="114"/>
      <c r="M1411" s="114"/>
      <c r="N1411" s="114"/>
      <c r="O1411" s="113"/>
      <c r="P1411" s="127"/>
      <c r="Q1411" s="113"/>
      <c r="R1411" s="114"/>
      <c r="S1411" s="579" t="s">
        <v>280</v>
      </c>
      <c r="T1411" s="211"/>
    </row>
    <row r="1412" spans="1:20" s="212" customFormat="1" ht="75.75" customHeight="1" x14ac:dyDescent="0.35">
      <c r="A1412" s="576"/>
      <c r="B1412" s="600"/>
      <c r="C1412" s="114" t="s">
        <v>7</v>
      </c>
      <c r="D1412" s="116" t="s">
        <v>129</v>
      </c>
      <c r="E1412" s="114" t="s">
        <v>25</v>
      </c>
      <c r="F1412" s="114">
        <v>100</v>
      </c>
      <c r="G1412" s="114">
        <v>100</v>
      </c>
      <c r="H1412" s="509">
        <f t="shared" ref="H1412:H1416" si="147">IF(G1412/F1412*100&gt;100,100,G1412/F1412*100)</f>
        <v>100</v>
      </c>
      <c r="I1412" s="114"/>
      <c r="J1412" s="114" t="s">
        <v>7</v>
      </c>
      <c r="K1412" s="116" t="s">
        <v>89</v>
      </c>
      <c r="L1412" s="114" t="s">
        <v>38</v>
      </c>
      <c r="M1412" s="114">
        <v>289</v>
      </c>
      <c r="N1412" s="114">
        <v>281</v>
      </c>
      <c r="O1412" s="115">
        <f>IF(N1412/M1412*100&gt;110,110,N1412/M1412*100)</f>
        <v>97.231833910034609</v>
      </c>
      <c r="P1412" s="127"/>
      <c r="Q1412" s="113"/>
      <c r="R1412" s="114"/>
      <c r="S1412" s="579"/>
      <c r="T1412" s="211"/>
    </row>
    <row r="1413" spans="1:20" s="212" customFormat="1" x14ac:dyDescent="0.35">
      <c r="A1413" s="576"/>
      <c r="B1413" s="600"/>
      <c r="C1413" s="114" t="s">
        <v>8</v>
      </c>
      <c r="D1413" s="116" t="s">
        <v>561</v>
      </c>
      <c r="E1413" s="114" t="s">
        <v>25</v>
      </c>
      <c r="F1413" s="114">
        <v>100</v>
      </c>
      <c r="G1413" s="114">
        <v>100</v>
      </c>
      <c r="H1413" s="509">
        <f t="shared" si="147"/>
        <v>100</v>
      </c>
      <c r="I1413" s="114"/>
      <c r="J1413" s="114"/>
      <c r="K1413" s="503"/>
      <c r="L1413" s="114"/>
      <c r="M1413" s="117"/>
      <c r="N1413" s="117"/>
      <c r="O1413" s="115"/>
      <c r="P1413" s="127"/>
      <c r="Q1413" s="113"/>
      <c r="R1413" s="114"/>
      <c r="S1413" s="579"/>
      <c r="T1413" s="211"/>
    </row>
    <row r="1414" spans="1:20" s="212" customFormat="1" ht="41.25" customHeight="1" x14ac:dyDescent="0.35">
      <c r="A1414" s="576"/>
      <c r="B1414" s="600"/>
      <c r="C1414" s="114" t="s">
        <v>9</v>
      </c>
      <c r="D1414" s="116" t="s">
        <v>468</v>
      </c>
      <c r="E1414" s="114" t="s">
        <v>25</v>
      </c>
      <c r="F1414" s="114">
        <v>100</v>
      </c>
      <c r="G1414" s="114">
        <v>100</v>
      </c>
      <c r="H1414" s="509">
        <f t="shared" si="147"/>
        <v>100</v>
      </c>
      <c r="I1414" s="114"/>
      <c r="J1414" s="118"/>
      <c r="K1414" s="116"/>
      <c r="L1414" s="114"/>
      <c r="M1414" s="119"/>
      <c r="N1414" s="119"/>
      <c r="O1414" s="115"/>
      <c r="P1414" s="127"/>
      <c r="Q1414" s="113"/>
      <c r="R1414" s="114"/>
      <c r="S1414" s="579"/>
      <c r="T1414" s="211"/>
    </row>
    <row r="1415" spans="1:20" s="212" customFormat="1" ht="75" customHeight="1" x14ac:dyDescent="0.35">
      <c r="A1415" s="576"/>
      <c r="B1415" s="600"/>
      <c r="C1415" s="114" t="s">
        <v>10</v>
      </c>
      <c r="D1415" s="116" t="s">
        <v>88</v>
      </c>
      <c r="E1415" s="114" t="s">
        <v>25</v>
      </c>
      <c r="F1415" s="114">
        <v>90</v>
      </c>
      <c r="G1415" s="114">
        <v>100</v>
      </c>
      <c r="H1415" s="509">
        <f t="shared" si="147"/>
        <v>100</v>
      </c>
      <c r="I1415" s="114"/>
      <c r="J1415" s="118"/>
      <c r="K1415" s="116"/>
      <c r="L1415" s="114"/>
      <c r="M1415" s="119"/>
      <c r="N1415" s="119"/>
      <c r="O1415" s="115"/>
      <c r="P1415" s="127"/>
      <c r="Q1415" s="113"/>
      <c r="R1415" s="114"/>
      <c r="S1415" s="579"/>
      <c r="T1415" s="211"/>
    </row>
    <row r="1416" spans="1:20" s="212" customFormat="1" ht="122.25" customHeight="1" x14ac:dyDescent="0.35">
      <c r="A1416" s="576"/>
      <c r="B1416" s="600"/>
      <c r="C1416" s="114" t="s">
        <v>35</v>
      </c>
      <c r="D1416" s="116" t="s">
        <v>130</v>
      </c>
      <c r="E1416" s="114" t="s">
        <v>25</v>
      </c>
      <c r="F1416" s="114">
        <v>100</v>
      </c>
      <c r="G1416" s="114">
        <v>100</v>
      </c>
      <c r="H1416" s="509">
        <f t="shared" si="147"/>
        <v>100</v>
      </c>
      <c r="I1416" s="114"/>
      <c r="J1416" s="118"/>
      <c r="K1416" s="116"/>
      <c r="L1416" s="114"/>
      <c r="M1416" s="119"/>
      <c r="N1416" s="119"/>
      <c r="O1416" s="115"/>
      <c r="P1416" s="127"/>
      <c r="Q1416" s="113"/>
      <c r="R1416" s="114"/>
      <c r="S1416" s="579"/>
      <c r="T1416" s="211"/>
    </row>
    <row r="1417" spans="1:20" s="124" customFormat="1" ht="40.5" customHeight="1" x14ac:dyDescent="0.35">
      <c r="A1417" s="576"/>
      <c r="B1417" s="600"/>
      <c r="C1417" s="191"/>
      <c r="D1417" s="183" t="s">
        <v>6</v>
      </c>
      <c r="E1417" s="191"/>
      <c r="F1417" s="184"/>
      <c r="G1417" s="184"/>
      <c r="H1417" s="187"/>
      <c r="I1417" s="187">
        <f>(H1412+H1413+H1414+H1415+H1416)/5</f>
        <v>100</v>
      </c>
      <c r="J1417" s="182"/>
      <c r="K1417" s="183" t="s">
        <v>6</v>
      </c>
      <c r="L1417" s="184"/>
      <c r="M1417" s="188"/>
      <c r="N1417" s="188"/>
      <c r="O1417" s="187"/>
      <c r="P1417" s="187">
        <f>O1412</f>
        <v>97.231833910034609</v>
      </c>
      <c r="Q1417" s="187">
        <f>(I1417+P1417)/2</f>
        <v>98.615916955017298</v>
      </c>
      <c r="R1417" s="191" t="s">
        <v>361</v>
      </c>
      <c r="S1417" s="579"/>
      <c r="T1417" s="123"/>
    </row>
    <row r="1418" spans="1:20" s="212" customFormat="1" ht="61.5" customHeight="1" x14ac:dyDescent="0.35">
      <c r="A1418" s="576"/>
      <c r="B1418" s="600"/>
      <c r="C1418" s="502" t="s">
        <v>13</v>
      </c>
      <c r="D1418" s="146" t="s">
        <v>131</v>
      </c>
      <c r="E1418" s="114"/>
      <c r="F1418" s="114"/>
      <c r="G1418" s="114"/>
      <c r="H1418" s="113"/>
      <c r="I1418" s="113"/>
      <c r="J1418" s="502" t="s">
        <v>13</v>
      </c>
      <c r="K1418" s="146" t="s">
        <v>131</v>
      </c>
      <c r="L1418" s="114"/>
      <c r="M1418" s="119"/>
      <c r="N1418" s="119"/>
      <c r="O1418" s="113"/>
      <c r="P1418" s="127"/>
      <c r="Q1418" s="113"/>
      <c r="R1418" s="114"/>
      <c r="S1418" s="579"/>
      <c r="T1418" s="211"/>
    </row>
    <row r="1419" spans="1:20" s="212" customFormat="1" ht="75" customHeight="1" x14ac:dyDescent="0.35">
      <c r="A1419" s="576"/>
      <c r="B1419" s="600"/>
      <c r="C1419" s="114" t="s">
        <v>14</v>
      </c>
      <c r="D1419" s="116" t="s">
        <v>132</v>
      </c>
      <c r="E1419" s="114" t="s">
        <v>25</v>
      </c>
      <c r="F1419" s="114">
        <v>100</v>
      </c>
      <c r="G1419" s="114">
        <v>100</v>
      </c>
      <c r="H1419" s="509">
        <f t="shared" ref="H1419:H1423" si="148">IF(G1419/F1419*100&gt;100,100,G1419/F1419*100)</f>
        <v>100</v>
      </c>
      <c r="I1419" s="114"/>
      <c r="J1419" s="118" t="s">
        <v>14</v>
      </c>
      <c r="K1419" s="116" t="s">
        <v>89</v>
      </c>
      <c r="L1419" s="114" t="s">
        <v>38</v>
      </c>
      <c r="M1419" s="114">
        <v>298</v>
      </c>
      <c r="N1419" s="114">
        <v>291</v>
      </c>
      <c r="O1419" s="115">
        <f>IF(N1419/M1419*100&gt;110,110,N1419/M1419*100)</f>
        <v>97.651006711409394</v>
      </c>
      <c r="P1419" s="114"/>
      <c r="Q1419" s="113"/>
      <c r="R1419" s="114"/>
      <c r="S1419" s="579"/>
      <c r="T1419" s="211"/>
    </row>
    <row r="1420" spans="1:20" s="212" customFormat="1" x14ac:dyDescent="0.35">
      <c r="A1420" s="576"/>
      <c r="B1420" s="600"/>
      <c r="C1420" s="114" t="s">
        <v>15</v>
      </c>
      <c r="D1420" s="116" t="s">
        <v>559</v>
      </c>
      <c r="E1420" s="114" t="s">
        <v>25</v>
      </c>
      <c r="F1420" s="114">
        <v>100</v>
      </c>
      <c r="G1420" s="114">
        <v>100</v>
      </c>
      <c r="H1420" s="509">
        <f t="shared" si="148"/>
        <v>100</v>
      </c>
      <c r="I1420" s="114"/>
      <c r="J1420" s="118"/>
      <c r="K1420" s="116"/>
      <c r="L1420" s="114"/>
      <c r="M1420" s="119"/>
      <c r="N1420" s="119"/>
      <c r="O1420" s="115"/>
      <c r="P1420" s="127"/>
      <c r="Q1420" s="113"/>
      <c r="R1420" s="114"/>
      <c r="S1420" s="579"/>
      <c r="T1420" s="211"/>
    </row>
    <row r="1421" spans="1:20" s="212" customFormat="1" ht="49.5" customHeight="1" x14ac:dyDescent="0.35">
      <c r="A1421" s="576"/>
      <c r="B1421" s="600"/>
      <c r="C1421" s="114" t="s">
        <v>39</v>
      </c>
      <c r="D1421" s="116" t="s">
        <v>468</v>
      </c>
      <c r="E1421" s="114" t="s">
        <v>25</v>
      </c>
      <c r="F1421" s="114">
        <v>100</v>
      </c>
      <c r="G1421" s="114">
        <v>100</v>
      </c>
      <c r="H1421" s="509">
        <f t="shared" si="148"/>
        <v>100</v>
      </c>
      <c r="I1421" s="114"/>
      <c r="J1421" s="118"/>
      <c r="K1421" s="116"/>
      <c r="L1421" s="114"/>
      <c r="M1421" s="119"/>
      <c r="N1421" s="119"/>
      <c r="O1421" s="115"/>
      <c r="P1421" s="127"/>
      <c r="Q1421" s="113"/>
      <c r="R1421" s="114"/>
      <c r="S1421" s="579"/>
      <c r="T1421" s="211"/>
    </row>
    <row r="1422" spans="1:20" s="212" customFormat="1" ht="60" customHeight="1" x14ac:dyDescent="0.35">
      <c r="A1422" s="576"/>
      <c r="B1422" s="600"/>
      <c r="C1422" s="114" t="s">
        <v>45</v>
      </c>
      <c r="D1422" s="116" t="s">
        <v>390</v>
      </c>
      <c r="E1422" s="114" t="s">
        <v>25</v>
      </c>
      <c r="F1422" s="114">
        <v>90</v>
      </c>
      <c r="G1422" s="114">
        <v>100</v>
      </c>
      <c r="H1422" s="509">
        <f t="shared" si="148"/>
        <v>100</v>
      </c>
      <c r="I1422" s="114"/>
      <c r="J1422" s="118"/>
      <c r="K1422" s="116"/>
      <c r="L1422" s="114"/>
      <c r="M1422" s="119"/>
      <c r="N1422" s="119"/>
      <c r="O1422" s="115"/>
      <c r="P1422" s="127"/>
      <c r="Q1422" s="113"/>
      <c r="R1422" s="114"/>
      <c r="S1422" s="579"/>
      <c r="T1422" s="211"/>
    </row>
    <row r="1423" spans="1:20" s="212" customFormat="1" ht="122.25" customHeight="1" x14ac:dyDescent="0.35">
      <c r="A1423" s="576"/>
      <c r="B1423" s="600"/>
      <c r="C1423" s="114" t="s">
        <v>66</v>
      </c>
      <c r="D1423" s="116" t="s">
        <v>130</v>
      </c>
      <c r="E1423" s="114" t="s">
        <v>25</v>
      </c>
      <c r="F1423" s="114">
        <v>100</v>
      </c>
      <c r="G1423" s="114">
        <v>100</v>
      </c>
      <c r="H1423" s="509">
        <f t="shared" si="148"/>
        <v>100</v>
      </c>
      <c r="I1423" s="114"/>
      <c r="J1423" s="118"/>
      <c r="K1423" s="116"/>
      <c r="L1423" s="114"/>
      <c r="M1423" s="119"/>
      <c r="N1423" s="119"/>
      <c r="O1423" s="115"/>
      <c r="P1423" s="127"/>
      <c r="Q1423" s="113"/>
      <c r="R1423" s="114"/>
      <c r="S1423" s="579"/>
      <c r="T1423" s="211"/>
    </row>
    <row r="1424" spans="1:20" s="124" customFormat="1" ht="40.5" customHeight="1" x14ac:dyDescent="0.35">
      <c r="A1424" s="576"/>
      <c r="B1424" s="600"/>
      <c r="C1424" s="191"/>
      <c r="D1424" s="183" t="s">
        <v>6</v>
      </c>
      <c r="E1424" s="191"/>
      <c r="F1424" s="184"/>
      <c r="G1424" s="184"/>
      <c r="H1424" s="187"/>
      <c r="I1424" s="187">
        <f>(H1419+H1420+H1421+H1422+H1423)/5</f>
        <v>100</v>
      </c>
      <c r="J1424" s="182"/>
      <c r="K1424" s="183" t="s">
        <v>6</v>
      </c>
      <c r="L1424" s="184"/>
      <c r="M1424" s="188"/>
      <c r="N1424" s="188"/>
      <c r="O1424" s="187"/>
      <c r="P1424" s="187">
        <f>O1419</f>
        <v>97.651006711409394</v>
      </c>
      <c r="Q1424" s="187">
        <f>(I1424+P1424)/2</f>
        <v>98.825503355704697</v>
      </c>
      <c r="R1424" s="191" t="s">
        <v>361</v>
      </c>
      <c r="S1424" s="579"/>
      <c r="T1424" s="123"/>
    </row>
    <row r="1425" spans="1:20" s="212" customFormat="1" ht="78" customHeight="1" x14ac:dyDescent="0.35">
      <c r="A1425" s="576"/>
      <c r="B1425" s="600"/>
      <c r="C1425" s="502" t="s">
        <v>28</v>
      </c>
      <c r="D1425" s="146" t="s">
        <v>133</v>
      </c>
      <c r="E1425" s="114"/>
      <c r="F1425" s="114"/>
      <c r="G1425" s="114"/>
      <c r="H1425" s="113"/>
      <c r="I1425" s="113"/>
      <c r="J1425" s="502" t="s">
        <v>28</v>
      </c>
      <c r="K1425" s="146" t="str">
        <f>D1425</f>
        <v>Реализация основных общеобразовательных программ среднего общего образования</v>
      </c>
      <c r="L1425" s="114"/>
      <c r="M1425" s="119"/>
      <c r="N1425" s="119"/>
      <c r="O1425" s="113"/>
      <c r="P1425" s="127"/>
      <c r="Q1425" s="113"/>
      <c r="R1425" s="114"/>
      <c r="S1425" s="579"/>
      <c r="T1425" s="211"/>
    </row>
    <row r="1426" spans="1:20" s="212" customFormat="1" ht="73.5" customHeight="1" x14ac:dyDescent="0.35">
      <c r="A1426" s="576"/>
      <c r="B1426" s="600"/>
      <c r="C1426" s="114" t="s">
        <v>29</v>
      </c>
      <c r="D1426" s="116" t="s">
        <v>134</v>
      </c>
      <c r="E1426" s="114" t="s">
        <v>25</v>
      </c>
      <c r="F1426" s="114">
        <v>100</v>
      </c>
      <c r="G1426" s="114">
        <v>100</v>
      </c>
      <c r="H1426" s="509">
        <f t="shared" ref="H1426:H1430" si="149">IF(G1426/F1426*100&gt;100,100,G1426/F1426*100)</f>
        <v>100</v>
      </c>
      <c r="I1426" s="114"/>
      <c r="J1426" s="118" t="s">
        <v>29</v>
      </c>
      <c r="K1426" s="116" t="s">
        <v>89</v>
      </c>
      <c r="L1426" s="114" t="s">
        <v>38</v>
      </c>
      <c r="M1426" s="114">
        <v>52</v>
      </c>
      <c r="N1426" s="114">
        <v>52</v>
      </c>
      <c r="O1426" s="115">
        <f>IF(N1426/M1426*100&gt;110,110,N1426/M1426*100)</f>
        <v>100</v>
      </c>
      <c r="P1426" s="114"/>
      <c r="Q1426" s="113"/>
      <c r="R1426" s="114"/>
      <c r="S1426" s="579"/>
      <c r="T1426" s="211"/>
    </row>
    <row r="1427" spans="1:20" s="212" customFormat="1" x14ac:dyDescent="0.35">
      <c r="A1427" s="576"/>
      <c r="B1427" s="600"/>
      <c r="C1427" s="114" t="s">
        <v>30</v>
      </c>
      <c r="D1427" s="116" t="s">
        <v>560</v>
      </c>
      <c r="E1427" s="114" t="s">
        <v>25</v>
      </c>
      <c r="F1427" s="114">
        <v>100</v>
      </c>
      <c r="G1427" s="114">
        <v>100</v>
      </c>
      <c r="H1427" s="509">
        <f t="shared" si="149"/>
        <v>100</v>
      </c>
      <c r="I1427" s="114"/>
      <c r="J1427" s="118"/>
      <c r="K1427" s="116"/>
      <c r="L1427" s="114"/>
      <c r="M1427" s="119"/>
      <c r="N1427" s="119"/>
      <c r="O1427" s="115"/>
      <c r="P1427" s="127"/>
      <c r="Q1427" s="113"/>
      <c r="R1427" s="114"/>
      <c r="S1427" s="579"/>
      <c r="T1427" s="211"/>
    </row>
    <row r="1428" spans="1:20" s="212" customFormat="1" ht="54" customHeight="1" x14ac:dyDescent="0.35">
      <c r="A1428" s="576"/>
      <c r="B1428" s="600"/>
      <c r="C1428" s="114" t="s">
        <v>52</v>
      </c>
      <c r="D1428" s="116" t="s">
        <v>468</v>
      </c>
      <c r="E1428" s="114" t="s">
        <v>25</v>
      </c>
      <c r="F1428" s="114">
        <v>100</v>
      </c>
      <c r="G1428" s="114">
        <v>100</v>
      </c>
      <c r="H1428" s="509">
        <f t="shared" si="149"/>
        <v>100</v>
      </c>
      <c r="I1428" s="114"/>
      <c r="J1428" s="118"/>
      <c r="K1428" s="116"/>
      <c r="L1428" s="114"/>
      <c r="M1428" s="119"/>
      <c r="N1428" s="119"/>
      <c r="O1428" s="115"/>
      <c r="P1428" s="127"/>
      <c r="Q1428" s="113"/>
      <c r="R1428" s="114"/>
      <c r="S1428" s="579"/>
      <c r="T1428" s="211"/>
    </row>
    <row r="1429" spans="1:20" s="212" customFormat="1" ht="57.75" customHeight="1" x14ac:dyDescent="0.35">
      <c r="A1429" s="576"/>
      <c r="B1429" s="600"/>
      <c r="C1429" s="114" t="s">
        <v>53</v>
      </c>
      <c r="D1429" s="116" t="s">
        <v>390</v>
      </c>
      <c r="E1429" s="114" t="s">
        <v>25</v>
      </c>
      <c r="F1429" s="114">
        <v>90</v>
      </c>
      <c r="G1429" s="114">
        <v>100</v>
      </c>
      <c r="H1429" s="509">
        <f t="shared" si="149"/>
        <v>100</v>
      </c>
      <c r="I1429" s="114"/>
      <c r="J1429" s="118"/>
      <c r="K1429" s="116"/>
      <c r="L1429" s="114"/>
      <c r="M1429" s="119"/>
      <c r="N1429" s="119"/>
      <c r="O1429" s="115"/>
      <c r="P1429" s="127"/>
      <c r="Q1429" s="113"/>
      <c r="R1429" s="114"/>
      <c r="S1429" s="579"/>
      <c r="T1429" s="211"/>
    </row>
    <row r="1430" spans="1:20" s="212" customFormat="1" ht="117.75" customHeight="1" x14ac:dyDescent="0.35">
      <c r="A1430" s="576"/>
      <c r="B1430" s="600"/>
      <c r="C1430" s="114" t="s">
        <v>135</v>
      </c>
      <c r="D1430" s="116" t="s">
        <v>130</v>
      </c>
      <c r="E1430" s="114" t="s">
        <v>25</v>
      </c>
      <c r="F1430" s="114">
        <v>100</v>
      </c>
      <c r="G1430" s="114">
        <v>100</v>
      </c>
      <c r="H1430" s="509">
        <f t="shared" si="149"/>
        <v>100</v>
      </c>
      <c r="I1430" s="114"/>
      <c r="J1430" s="118"/>
      <c r="K1430" s="116"/>
      <c r="L1430" s="114"/>
      <c r="M1430" s="119"/>
      <c r="N1430" s="119"/>
      <c r="O1430" s="115"/>
      <c r="P1430" s="127"/>
      <c r="Q1430" s="113"/>
      <c r="R1430" s="114"/>
      <c r="S1430" s="579"/>
      <c r="T1430" s="211"/>
    </row>
    <row r="1431" spans="1:20" s="124" customFormat="1" ht="40.5" customHeight="1" x14ac:dyDescent="0.35">
      <c r="A1431" s="576"/>
      <c r="B1431" s="600"/>
      <c r="C1431" s="191"/>
      <c r="D1431" s="183" t="s">
        <v>6</v>
      </c>
      <c r="E1431" s="191"/>
      <c r="F1431" s="184"/>
      <c r="G1431" s="184"/>
      <c r="H1431" s="187"/>
      <c r="I1431" s="187">
        <f>(H1426+H1427+H1428+H1429+H1430)/5</f>
        <v>100</v>
      </c>
      <c r="J1431" s="182"/>
      <c r="K1431" s="183" t="s">
        <v>6</v>
      </c>
      <c r="L1431" s="184"/>
      <c r="M1431" s="188"/>
      <c r="N1431" s="188"/>
      <c r="O1431" s="187"/>
      <c r="P1431" s="187">
        <f>O1426</f>
        <v>100</v>
      </c>
      <c r="Q1431" s="187">
        <f>(I1431+P1431)/2</f>
        <v>100</v>
      </c>
      <c r="R1431" s="191" t="s">
        <v>31</v>
      </c>
      <c r="S1431" s="579"/>
      <c r="T1431" s="123"/>
    </row>
    <row r="1432" spans="1:20" s="212" customFormat="1" x14ac:dyDescent="0.35">
      <c r="A1432" s="576"/>
      <c r="B1432" s="600"/>
      <c r="C1432" s="502" t="s">
        <v>42</v>
      </c>
      <c r="D1432" s="146" t="s">
        <v>90</v>
      </c>
      <c r="E1432" s="114"/>
      <c r="F1432" s="114"/>
      <c r="G1432" s="114"/>
      <c r="H1432" s="113"/>
      <c r="I1432" s="113"/>
      <c r="J1432" s="502" t="s">
        <v>42</v>
      </c>
      <c r="K1432" s="146" t="s">
        <v>90</v>
      </c>
      <c r="L1432" s="114"/>
      <c r="M1432" s="119"/>
      <c r="N1432" s="119"/>
      <c r="O1432" s="113"/>
      <c r="P1432" s="127"/>
      <c r="Q1432" s="113"/>
      <c r="R1432" s="114"/>
      <c r="S1432" s="579"/>
      <c r="T1432" s="211"/>
    </row>
    <row r="1433" spans="1:20" s="212" customFormat="1" ht="48.75" customHeight="1" x14ac:dyDescent="0.35">
      <c r="A1433" s="576"/>
      <c r="B1433" s="600"/>
      <c r="C1433" s="114" t="s">
        <v>43</v>
      </c>
      <c r="D1433" s="116" t="s">
        <v>136</v>
      </c>
      <c r="E1433" s="114" t="s">
        <v>25</v>
      </c>
      <c r="F1433" s="114">
        <v>100</v>
      </c>
      <c r="G1433" s="114">
        <v>100</v>
      </c>
      <c r="H1433" s="509">
        <f t="shared" ref="H1433:H1434" si="150">IF(G1433/F1433*100&gt;100,100,G1433/F1433*100)</f>
        <v>100</v>
      </c>
      <c r="I1433" s="114"/>
      <c r="J1433" s="118" t="s">
        <v>43</v>
      </c>
      <c r="K1433" s="116" t="s">
        <v>89</v>
      </c>
      <c r="L1433" s="114" t="s">
        <v>38</v>
      </c>
      <c r="M1433" s="114">
        <v>50</v>
      </c>
      <c r="N1433" s="114">
        <v>50</v>
      </c>
      <c r="O1433" s="115">
        <f>IF(N1433/M1433*100&gt;110,110,N1433/M1433*100)</f>
        <v>100</v>
      </c>
      <c r="P1433" s="127"/>
      <c r="Q1433" s="113"/>
      <c r="R1433" s="114"/>
      <c r="S1433" s="579"/>
      <c r="T1433" s="211"/>
    </row>
    <row r="1434" spans="1:20" s="212" customFormat="1" ht="78" customHeight="1" x14ac:dyDescent="0.35">
      <c r="A1434" s="576"/>
      <c r="B1434" s="600"/>
      <c r="C1434" s="114" t="s">
        <v>137</v>
      </c>
      <c r="D1434" s="116" t="s">
        <v>138</v>
      </c>
      <c r="E1434" s="114" t="s">
        <v>25</v>
      </c>
      <c r="F1434" s="114">
        <v>90</v>
      </c>
      <c r="G1434" s="114">
        <v>100</v>
      </c>
      <c r="H1434" s="509">
        <f t="shared" si="150"/>
        <v>100</v>
      </c>
      <c r="I1434" s="114"/>
      <c r="J1434" s="118"/>
      <c r="K1434" s="116"/>
      <c r="L1434" s="114"/>
      <c r="M1434" s="119"/>
      <c r="N1434" s="119"/>
      <c r="O1434" s="115"/>
      <c r="P1434" s="127"/>
      <c r="Q1434" s="113"/>
      <c r="R1434" s="114"/>
      <c r="S1434" s="579"/>
      <c r="T1434" s="211"/>
    </row>
    <row r="1435" spans="1:20" s="124" customFormat="1" ht="40.5" customHeight="1" x14ac:dyDescent="0.35">
      <c r="A1435" s="576"/>
      <c r="B1435" s="600"/>
      <c r="C1435" s="191"/>
      <c r="D1435" s="183" t="s">
        <v>6</v>
      </c>
      <c r="E1435" s="191"/>
      <c r="F1435" s="184"/>
      <c r="G1435" s="184"/>
      <c r="H1435" s="187"/>
      <c r="I1435" s="187">
        <f>(H1433+H1434)/2</f>
        <v>100</v>
      </c>
      <c r="J1435" s="182"/>
      <c r="K1435" s="183" t="s">
        <v>6</v>
      </c>
      <c r="L1435" s="184"/>
      <c r="M1435" s="188"/>
      <c r="N1435" s="188"/>
      <c r="O1435" s="187"/>
      <c r="P1435" s="187">
        <f>O1433</f>
        <v>100</v>
      </c>
      <c r="Q1435" s="187">
        <f>(I1435+P1435)/2</f>
        <v>100</v>
      </c>
      <c r="R1435" s="191" t="s">
        <v>31</v>
      </c>
      <c r="S1435" s="579"/>
      <c r="T1435" s="123"/>
    </row>
    <row r="1436" spans="1:20" s="212" customFormat="1" ht="60.75" customHeight="1" x14ac:dyDescent="0.35">
      <c r="A1436" s="576"/>
      <c r="B1436" s="600"/>
      <c r="C1436" s="502" t="s">
        <v>164</v>
      </c>
      <c r="D1436" s="146" t="s">
        <v>211</v>
      </c>
      <c r="E1436" s="114"/>
      <c r="F1436" s="114"/>
      <c r="G1436" s="114"/>
      <c r="H1436" s="113"/>
      <c r="I1436" s="113"/>
      <c r="J1436" s="502" t="s">
        <v>164</v>
      </c>
      <c r="K1436" s="146" t="str">
        <f>D1436</f>
        <v>Реализация дополнительных общеразвивающих программ</v>
      </c>
      <c r="L1436" s="114"/>
      <c r="M1436" s="119"/>
      <c r="N1436" s="119"/>
      <c r="O1436" s="113"/>
      <c r="P1436" s="127"/>
      <c r="Q1436" s="113"/>
      <c r="R1436" s="114"/>
      <c r="S1436" s="579"/>
      <c r="T1436" s="211"/>
    </row>
    <row r="1437" spans="1:20" s="212" customFormat="1" ht="80.25" customHeight="1" x14ac:dyDescent="0.35">
      <c r="A1437" s="576"/>
      <c r="B1437" s="600"/>
      <c r="C1437" s="114" t="s">
        <v>165</v>
      </c>
      <c r="D1437" s="116" t="s">
        <v>138</v>
      </c>
      <c r="E1437" s="114" t="s">
        <v>25</v>
      </c>
      <c r="F1437" s="114">
        <v>100</v>
      </c>
      <c r="G1437" s="114">
        <v>99</v>
      </c>
      <c r="H1437" s="509">
        <f>IF(G1437/F1437*100&gt;100,100,G1437/F1437*100)</f>
        <v>99</v>
      </c>
      <c r="I1437" s="114"/>
      <c r="J1437" s="118" t="str">
        <f>C1437</f>
        <v>5.1.</v>
      </c>
      <c r="K1437" s="116" t="s">
        <v>469</v>
      </c>
      <c r="L1437" s="114" t="s">
        <v>339</v>
      </c>
      <c r="M1437" s="114">
        <v>33456</v>
      </c>
      <c r="N1437" s="114">
        <v>32083</v>
      </c>
      <c r="O1437" s="115">
        <f>IF(N1437/M1437*100&gt;110,110,N1437/M1437*100)</f>
        <v>95.896102343376384</v>
      </c>
      <c r="P1437" s="127"/>
      <c r="Q1437" s="113"/>
      <c r="R1437" s="114"/>
      <c r="S1437" s="579"/>
      <c r="T1437" s="211"/>
    </row>
    <row r="1438" spans="1:20" s="329" customFormat="1" ht="39" customHeight="1" x14ac:dyDescent="0.35">
      <c r="A1438" s="576"/>
      <c r="B1438" s="600"/>
      <c r="C1438" s="191"/>
      <c r="D1438" s="183" t="s">
        <v>6</v>
      </c>
      <c r="E1438" s="191"/>
      <c r="F1438" s="184"/>
      <c r="G1438" s="184"/>
      <c r="H1438" s="187"/>
      <c r="I1438" s="187">
        <f>H1437</f>
        <v>99</v>
      </c>
      <c r="J1438" s="182"/>
      <c r="K1438" s="183" t="s">
        <v>6</v>
      </c>
      <c r="L1438" s="184"/>
      <c r="M1438" s="188"/>
      <c r="N1438" s="188"/>
      <c r="O1438" s="187"/>
      <c r="P1438" s="187">
        <f>O1437</f>
        <v>95.896102343376384</v>
      </c>
      <c r="Q1438" s="187">
        <f>(I1438+P1438)/2</f>
        <v>97.448051171688192</v>
      </c>
      <c r="R1438" s="191" t="s">
        <v>361</v>
      </c>
      <c r="S1438" s="579"/>
      <c r="T1438" s="328"/>
    </row>
    <row r="1439" spans="1:20" s="111" customFormat="1" ht="85.5" customHeight="1" x14ac:dyDescent="0.35">
      <c r="A1439" s="576">
        <v>75</v>
      </c>
      <c r="B1439" s="600" t="s">
        <v>187</v>
      </c>
      <c r="C1439" s="500" t="s">
        <v>12</v>
      </c>
      <c r="D1439" s="112" t="s">
        <v>211</v>
      </c>
      <c r="E1439" s="120"/>
      <c r="F1439" s="120"/>
      <c r="G1439" s="120"/>
      <c r="H1439" s="506"/>
      <c r="I1439" s="506"/>
      <c r="J1439" s="120" t="s">
        <v>12</v>
      </c>
      <c r="K1439" s="135" t="s">
        <v>211</v>
      </c>
      <c r="L1439" s="505"/>
      <c r="M1439" s="505"/>
      <c r="N1439" s="505"/>
      <c r="O1439" s="506"/>
      <c r="P1439" s="506"/>
      <c r="Q1439" s="506"/>
      <c r="R1439" s="507"/>
      <c r="S1439" s="579" t="s">
        <v>280</v>
      </c>
      <c r="T1439" s="110"/>
    </row>
    <row r="1440" spans="1:20" s="111" customFormat="1" ht="66" customHeight="1" x14ac:dyDescent="0.35">
      <c r="A1440" s="576"/>
      <c r="B1440" s="600"/>
      <c r="C1440" s="507" t="s">
        <v>7</v>
      </c>
      <c r="D1440" s="510" t="s">
        <v>188</v>
      </c>
      <c r="E1440" s="505" t="s">
        <v>25</v>
      </c>
      <c r="F1440" s="505">
        <v>100</v>
      </c>
      <c r="G1440" s="505">
        <v>99</v>
      </c>
      <c r="H1440" s="509">
        <f t="shared" ref="H1440" si="151">IF(G1440/F1440*100&gt;100,100,G1440/F1440*100)</f>
        <v>99</v>
      </c>
      <c r="I1440" s="505"/>
      <c r="J1440" s="505" t="s">
        <v>7</v>
      </c>
      <c r="K1440" s="137" t="s">
        <v>474</v>
      </c>
      <c r="L1440" s="505" t="s">
        <v>189</v>
      </c>
      <c r="M1440" s="505">
        <v>99004</v>
      </c>
      <c r="N1440" s="505">
        <v>94775</v>
      </c>
      <c r="O1440" s="509">
        <f>IF(N1440/M1440*100&gt;110,110,N1440/M1440*100)</f>
        <v>95.72845541594279</v>
      </c>
      <c r="P1440" s="136"/>
      <c r="Q1440" s="506"/>
      <c r="R1440" s="505"/>
      <c r="S1440" s="579"/>
      <c r="T1440" s="110"/>
    </row>
    <row r="1441" spans="1:21" s="111" customFormat="1" ht="96.75" customHeight="1" x14ac:dyDescent="0.35">
      <c r="A1441" s="576"/>
      <c r="B1441" s="600"/>
      <c r="C1441" s="507"/>
      <c r="D1441" s="510"/>
      <c r="E1441" s="505"/>
      <c r="F1441" s="522"/>
      <c r="G1441" s="522"/>
      <c r="H1441" s="509"/>
      <c r="I1441" s="505"/>
      <c r="J1441" s="505" t="s">
        <v>8</v>
      </c>
      <c r="K1441" s="137" t="s">
        <v>475</v>
      </c>
      <c r="L1441" s="505" t="s">
        <v>189</v>
      </c>
      <c r="M1441" s="505">
        <v>76392</v>
      </c>
      <c r="N1441" s="505">
        <v>72974</v>
      </c>
      <c r="O1441" s="509">
        <f>IF(N1441/M1441*100&gt;110,110,N1441/M1441*100)</f>
        <v>95.525709498376798</v>
      </c>
      <c r="P1441" s="136"/>
      <c r="Q1441" s="506"/>
      <c r="R1441" s="507"/>
      <c r="S1441" s="579"/>
      <c r="T1441" s="110"/>
    </row>
    <row r="1442" spans="1:21" s="124" customFormat="1" ht="39.75" customHeight="1" x14ac:dyDescent="0.35">
      <c r="A1442" s="576"/>
      <c r="B1442" s="600"/>
      <c r="C1442" s="182"/>
      <c r="D1442" s="183" t="s">
        <v>6</v>
      </c>
      <c r="E1442" s="184"/>
      <c r="F1442" s="185"/>
      <c r="G1442" s="186"/>
      <c r="H1442" s="187"/>
      <c r="I1442" s="187">
        <f>H1440</f>
        <v>99</v>
      </c>
      <c r="J1442" s="184"/>
      <c r="K1442" s="183" t="s">
        <v>6</v>
      </c>
      <c r="L1442" s="184"/>
      <c r="M1442" s="188"/>
      <c r="N1442" s="188"/>
      <c r="O1442" s="187"/>
      <c r="P1442" s="187">
        <f>(O1440+O1441)/2</f>
        <v>95.627082457159787</v>
      </c>
      <c r="Q1442" s="187">
        <f>(I1442+P1442)/2</f>
        <v>97.313541228579894</v>
      </c>
      <c r="R1442" s="191" t="s">
        <v>361</v>
      </c>
      <c r="S1442" s="579"/>
      <c r="T1442" s="110"/>
      <c r="U1442" s="189"/>
    </row>
    <row r="1443" spans="1:21" s="111" customFormat="1" ht="87.75" customHeight="1" x14ac:dyDescent="0.35">
      <c r="A1443" s="576"/>
      <c r="B1443" s="600"/>
      <c r="C1443" s="500" t="s">
        <v>13</v>
      </c>
      <c r="D1443" s="112" t="s">
        <v>276</v>
      </c>
      <c r="E1443" s="505"/>
      <c r="F1443" s="505"/>
      <c r="G1443" s="505"/>
      <c r="H1443" s="506"/>
      <c r="I1443" s="506"/>
      <c r="J1443" s="120" t="s">
        <v>13</v>
      </c>
      <c r="K1443" s="135" t="s">
        <v>276</v>
      </c>
      <c r="L1443" s="505"/>
      <c r="M1443" s="505"/>
      <c r="N1443" s="505"/>
      <c r="O1443" s="506"/>
      <c r="P1443" s="506"/>
      <c r="Q1443" s="506"/>
      <c r="R1443" s="114"/>
      <c r="S1443" s="579"/>
      <c r="T1443" s="110"/>
    </row>
    <row r="1444" spans="1:21" s="111" customFormat="1" ht="79.5" customHeight="1" x14ac:dyDescent="0.35">
      <c r="A1444" s="576"/>
      <c r="B1444" s="600"/>
      <c r="C1444" s="507" t="s">
        <v>14</v>
      </c>
      <c r="D1444" s="510" t="s">
        <v>192</v>
      </c>
      <c r="E1444" s="505"/>
      <c r="F1444" s="505"/>
      <c r="G1444" s="505"/>
      <c r="H1444" s="509"/>
      <c r="I1444" s="505"/>
      <c r="J1444" s="505" t="s">
        <v>14</v>
      </c>
      <c r="K1444" s="508" t="s">
        <v>193</v>
      </c>
      <c r="L1444" s="505"/>
      <c r="M1444" s="505"/>
      <c r="N1444" s="505"/>
      <c r="O1444" s="509"/>
      <c r="P1444" s="505"/>
      <c r="Q1444" s="506"/>
      <c r="R1444" s="507"/>
      <c r="S1444" s="579"/>
      <c r="T1444" s="110"/>
    </row>
    <row r="1445" spans="1:21" s="111" customFormat="1" ht="81" customHeight="1" x14ac:dyDescent="0.35">
      <c r="A1445" s="576"/>
      <c r="B1445" s="600"/>
      <c r="C1445" s="507" t="s">
        <v>452</v>
      </c>
      <c r="D1445" s="510" t="s">
        <v>340</v>
      </c>
      <c r="E1445" s="505" t="s">
        <v>25</v>
      </c>
      <c r="F1445" s="505">
        <v>100</v>
      </c>
      <c r="G1445" s="505">
        <v>100</v>
      </c>
      <c r="H1445" s="509">
        <f>IF(G1445/F1445*100&gt;100,100,G1445/F1445*100)</f>
        <v>100</v>
      </c>
      <c r="I1445" s="505"/>
      <c r="J1445" s="505" t="s">
        <v>452</v>
      </c>
      <c r="K1445" s="508" t="str">
        <f>D1445</f>
        <v>творческие (фестивали, выставки, конкурсы, смотры)</v>
      </c>
      <c r="L1445" s="505" t="s">
        <v>41</v>
      </c>
      <c r="M1445" s="505">
        <v>11</v>
      </c>
      <c r="N1445" s="505">
        <v>11</v>
      </c>
      <c r="O1445" s="509">
        <f>IF(N1445/M1445*100&gt;110,110,N1445/M1445*100)</f>
        <v>100</v>
      </c>
      <c r="P1445" s="505"/>
      <c r="Q1445" s="506"/>
      <c r="R1445" s="507"/>
      <c r="S1445" s="579"/>
      <c r="T1445" s="110"/>
    </row>
    <row r="1446" spans="1:21" s="111" customFormat="1" x14ac:dyDescent="0.35">
      <c r="A1446" s="576"/>
      <c r="B1446" s="600"/>
      <c r="C1446" s="608" t="s">
        <v>611</v>
      </c>
      <c r="D1446" s="609" t="s">
        <v>341</v>
      </c>
      <c r="E1446" s="610" t="s">
        <v>25</v>
      </c>
      <c r="F1446" s="610">
        <v>100</v>
      </c>
      <c r="G1446" s="610">
        <v>100</v>
      </c>
      <c r="H1446" s="611">
        <f>IF(G1446/F1446*100&gt;100,100,G1446/F1446*100)</f>
        <v>100</v>
      </c>
      <c r="I1446" s="610"/>
      <c r="J1446" s="610" t="s">
        <v>611</v>
      </c>
      <c r="K1446" s="613" t="str">
        <f>D1446</f>
        <v>культурно-массовые (иные зрелищные мероприятия)</v>
      </c>
      <c r="L1446" s="610" t="s">
        <v>41</v>
      </c>
      <c r="M1446" s="610">
        <v>5</v>
      </c>
      <c r="N1446" s="610">
        <v>5</v>
      </c>
      <c r="O1446" s="611">
        <f>IF(N1446/M1446*100&gt;110,110,N1446/M1446*100)</f>
        <v>100</v>
      </c>
      <c r="P1446" s="610"/>
      <c r="Q1446" s="612"/>
      <c r="R1446" s="608"/>
      <c r="S1446" s="579"/>
      <c r="T1446" s="110"/>
    </row>
    <row r="1447" spans="1:21" s="111" customFormat="1" ht="25.5" customHeight="1" x14ac:dyDescent="0.35">
      <c r="A1447" s="576"/>
      <c r="B1447" s="600"/>
      <c r="C1447" s="608"/>
      <c r="D1447" s="609"/>
      <c r="E1447" s="610"/>
      <c r="F1447" s="610"/>
      <c r="G1447" s="610"/>
      <c r="H1447" s="611" t="e">
        <f>IF(G1447/F1447*100&gt;100,100,G1447/F1447*100)</f>
        <v>#DIV/0!</v>
      </c>
      <c r="I1447" s="610"/>
      <c r="J1447" s="610"/>
      <c r="K1447" s="613"/>
      <c r="L1447" s="610"/>
      <c r="M1447" s="610"/>
      <c r="N1447" s="610"/>
      <c r="O1447" s="611"/>
      <c r="P1447" s="610"/>
      <c r="Q1447" s="612"/>
      <c r="R1447" s="608"/>
      <c r="S1447" s="579"/>
      <c r="T1447" s="110"/>
    </row>
    <row r="1448" spans="1:21" s="111" customFormat="1" ht="33" customHeight="1" x14ac:dyDescent="0.35">
      <c r="A1448" s="576"/>
      <c r="B1448" s="600"/>
      <c r="C1448" s="507" t="s">
        <v>612</v>
      </c>
      <c r="D1448" s="510" t="s">
        <v>342</v>
      </c>
      <c r="E1448" s="505" t="s">
        <v>25</v>
      </c>
      <c r="F1448" s="505">
        <v>100</v>
      </c>
      <c r="G1448" s="505">
        <v>100</v>
      </c>
      <c r="H1448" s="509">
        <f>IF(G1448/F1448*100&gt;100,100,G1448/F1448*100)</f>
        <v>100</v>
      </c>
      <c r="I1448" s="505"/>
      <c r="J1448" s="505" t="s">
        <v>612</v>
      </c>
      <c r="K1448" s="508" t="str">
        <f>D1448</f>
        <v>методические (семинар, конференция)</v>
      </c>
      <c r="L1448" s="505" t="s">
        <v>41</v>
      </c>
      <c r="M1448" s="505">
        <v>4</v>
      </c>
      <c r="N1448" s="505">
        <v>4</v>
      </c>
      <c r="O1448" s="509">
        <f>IF(N1448/M1448*100&gt;110,110,N1448/M1448*100)</f>
        <v>100</v>
      </c>
      <c r="P1448" s="505"/>
      <c r="Q1448" s="506"/>
      <c r="R1448" s="507"/>
      <c r="S1448" s="579"/>
      <c r="T1448" s="110"/>
    </row>
    <row r="1449" spans="1:21" s="124" customFormat="1" ht="39.75" customHeight="1" x14ac:dyDescent="0.35">
      <c r="A1449" s="576"/>
      <c r="B1449" s="600"/>
      <c r="C1449" s="182"/>
      <c r="D1449" s="183" t="s">
        <v>6</v>
      </c>
      <c r="E1449" s="184"/>
      <c r="F1449" s="185"/>
      <c r="G1449" s="186"/>
      <c r="H1449" s="187"/>
      <c r="I1449" s="187">
        <f>(H1448+H1446+H1445)/3</f>
        <v>100</v>
      </c>
      <c r="J1449" s="184"/>
      <c r="K1449" s="183" t="s">
        <v>6</v>
      </c>
      <c r="L1449" s="184"/>
      <c r="M1449" s="188"/>
      <c r="N1449" s="188"/>
      <c r="O1449" s="187"/>
      <c r="P1449" s="187">
        <f>(O1448+O1446+O1445)/3</f>
        <v>100</v>
      </c>
      <c r="Q1449" s="187">
        <f>(I1449+P1449)/2</f>
        <v>100</v>
      </c>
      <c r="R1449" s="191" t="s">
        <v>31</v>
      </c>
      <c r="S1449" s="579"/>
      <c r="T1449" s="110"/>
      <c r="U1449" s="189"/>
    </row>
    <row r="1450" spans="1:21" s="111" customFormat="1" ht="170.25" customHeight="1" x14ac:dyDescent="0.35">
      <c r="A1450" s="576"/>
      <c r="B1450" s="600"/>
      <c r="C1450" s="500" t="s">
        <v>28</v>
      </c>
      <c r="D1450" s="112" t="s">
        <v>476</v>
      </c>
      <c r="E1450" s="505"/>
      <c r="F1450" s="505"/>
      <c r="G1450" s="505"/>
      <c r="H1450" s="506"/>
      <c r="I1450" s="506"/>
      <c r="J1450" s="120" t="s">
        <v>28</v>
      </c>
      <c r="K1450" s="135" t="str">
        <f>D1450</f>
        <v>Организация мероприятий, направленных на профилактику асоциального и деструктивного поведения подростков и молодежи, поддержка детей и молодежи, находящейся в социально-опасном положении</v>
      </c>
      <c r="L1450" s="505"/>
      <c r="M1450" s="505"/>
      <c r="N1450" s="505"/>
      <c r="O1450" s="506"/>
      <c r="P1450" s="506"/>
      <c r="Q1450" s="506"/>
      <c r="R1450" s="114"/>
      <c r="S1450" s="579"/>
      <c r="T1450" s="110"/>
    </row>
    <row r="1451" spans="1:21" s="111" customFormat="1" ht="53.25" customHeight="1" x14ac:dyDescent="0.35">
      <c r="A1451" s="576"/>
      <c r="B1451" s="600"/>
      <c r="C1451" s="507" t="s">
        <v>29</v>
      </c>
      <c r="D1451" s="510" t="s">
        <v>192</v>
      </c>
      <c r="E1451" s="505" t="s">
        <v>25</v>
      </c>
      <c r="F1451" s="505">
        <v>100</v>
      </c>
      <c r="G1451" s="505">
        <v>100</v>
      </c>
      <c r="H1451" s="509">
        <f>IF(G1451/F1451*100&gt;100,100,G1451/F1451*100)</f>
        <v>100</v>
      </c>
      <c r="I1451" s="505"/>
      <c r="J1451" s="505" t="s">
        <v>29</v>
      </c>
      <c r="K1451" s="508" t="s">
        <v>193</v>
      </c>
      <c r="L1451" s="505" t="s">
        <v>41</v>
      </c>
      <c r="M1451" s="505">
        <v>11</v>
      </c>
      <c r="N1451" s="505">
        <v>11</v>
      </c>
      <c r="O1451" s="509">
        <f>IF(N1451/M1451*100&gt;110,110,N1451/M1451*100)</f>
        <v>100</v>
      </c>
      <c r="P1451" s="505"/>
      <c r="Q1451" s="506"/>
      <c r="R1451" s="507"/>
      <c r="S1451" s="579"/>
      <c r="T1451" s="110"/>
    </row>
    <row r="1452" spans="1:21" s="124" customFormat="1" ht="37.5" customHeight="1" x14ac:dyDescent="0.35">
      <c r="A1452" s="576"/>
      <c r="B1452" s="600"/>
      <c r="C1452" s="191"/>
      <c r="D1452" s="183" t="s">
        <v>6</v>
      </c>
      <c r="E1452" s="191"/>
      <c r="F1452" s="184"/>
      <c r="G1452" s="184"/>
      <c r="H1452" s="187"/>
      <c r="I1452" s="187">
        <f>H1451</f>
        <v>100</v>
      </c>
      <c r="J1452" s="182"/>
      <c r="K1452" s="183" t="s">
        <v>6</v>
      </c>
      <c r="L1452" s="184"/>
      <c r="M1452" s="188"/>
      <c r="N1452" s="188"/>
      <c r="O1452" s="187"/>
      <c r="P1452" s="187">
        <f>O1451</f>
        <v>100</v>
      </c>
      <c r="Q1452" s="187">
        <f>(I1452+P1452)/2</f>
        <v>100</v>
      </c>
      <c r="R1452" s="191" t="s">
        <v>31</v>
      </c>
      <c r="S1452" s="579"/>
      <c r="T1452" s="110"/>
    </row>
    <row r="1453" spans="1:21" s="111" customFormat="1" ht="81.75" customHeight="1" x14ac:dyDescent="0.35">
      <c r="A1453" s="576">
        <v>76</v>
      </c>
      <c r="B1453" s="600" t="s">
        <v>195</v>
      </c>
      <c r="C1453" s="500" t="s">
        <v>12</v>
      </c>
      <c r="D1453" s="112" t="s">
        <v>211</v>
      </c>
      <c r="E1453" s="120"/>
      <c r="F1453" s="120"/>
      <c r="G1453" s="120"/>
      <c r="H1453" s="506"/>
      <c r="I1453" s="506"/>
      <c r="J1453" s="120" t="s">
        <v>12</v>
      </c>
      <c r="K1453" s="135" t="s">
        <v>211</v>
      </c>
      <c r="L1453" s="505"/>
      <c r="M1453" s="505"/>
      <c r="N1453" s="505"/>
      <c r="O1453" s="506"/>
      <c r="P1453" s="506"/>
      <c r="Q1453" s="506"/>
      <c r="R1453" s="507"/>
      <c r="S1453" s="579" t="s">
        <v>280</v>
      </c>
      <c r="T1453" s="110"/>
    </row>
    <row r="1454" spans="1:21" s="111" customFormat="1" ht="55.5" customHeight="1" x14ac:dyDescent="0.35">
      <c r="A1454" s="576"/>
      <c r="B1454" s="600"/>
      <c r="C1454" s="507" t="s">
        <v>7</v>
      </c>
      <c r="D1454" s="510" t="s">
        <v>188</v>
      </c>
      <c r="E1454" s="505" t="s">
        <v>25</v>
      </c>
      <c r="F1454" s="505">
        <v>100</v>
      </c>
      <c r="G1454" s="505">
        <v>99.2</v>
      </c>
      <c r="H1454" s="509">
        <f>IF(G1454/F1454*100&gt;100,100,G1454/F1454*100)</f>
        <v>99.2</v>
      </c>
      <c r="I1454" s="505"/>
      <c r="J1454" s="505" t="s">
        <v>7</v>
      </c>
      <c r="K1454" s="137" t="s">
        <v>477</v>
      </c>
      <c r="L1454" s="505" t="s">
        <v>189</v>
      </c>
      <c r="M1454" s="505"/>
      <c r="N1454" s="505"/>
      <c r="O1454" s="509"/>
      <c r="P1454" s="136"/>
      <c r="Q1454" s="506"/>
      <c r="R1454" s="505"/>
      <c r="S1454" s="579"/>
      <c r="T1454" s="110"/>
    </row>
    <row r="1455" spans="1:21" s="111" customFormat="1" ht="71.25" customHeight="1" x14ac:dyDescent="0.35">
      <c r="A1455" s="576"/>
      <c r="B1455" s="600"/>
      <c r="C1455" s="507"/>
      <c r="D1455" s="510"/>
      <c r="E1455" s="505"/>
      <c r="F1455" s="522"/>
      <c r="G1455" s="522"/>
      <c r="H1455" s="509"/>
      <c r="I1455" s="505"/>
      <c r="J1455" s="505" t="s">
        <v>46</v>
      </c>
      <c r="K1455" s="137" t="s">
        <v>406</v>
      </c>
      <c r="L1455" s="505" t="s">
        <v>189</v>
      </c>
      <c r="M1455" s="505">
        <v>51264</v>
      </c>
      <c r="N1455" s="505">
        <v>51726</v>
      </c>
      <c r="O1455" s="509">
        <f>IF(N1455/M1455*100&gt;110,110,N1455/M1455*100)</f>
        <v>100.90121722846442</v>
      </c>
      <c r="P1455" s="136"/>
      <c r="Q1455" s="506"/>
      <c r="R1455" s="507"/>
      <c r="S1455" s="579"/>
      <c r="T1455" s="110"/>
    </row>
    <row r="1456" spans="1:21" s="111" customFormat="1" ht="70.5" customHeight="1" x14ac:dyDescent="0.35">
      <c r="A1456" s="576"/>
      <c r="B1456" s="600"/>
      <c r="C1456" s="507"/>
      <c r="D1456" s="510"/>
      <c r="E1456" s="505"/>
      <c r="F1456" s="505"/>
      <c r="G1456" s="505"/>
      <c r="H1456" s="509"/>
      <c r="I1456" s="505"/>
      <c r="J1456" s="505" t="s">
        <v>47</v>
      </c>
      <c r="K1456" s="137" t="s">
        <v>190</v>
      </c>
      <c r="L1456" s="505" t="s">
        <v>189</v>
      </c>
      <c r="M1456" s="505">
        <v>192043</v>
      </c>
      <c r="N1456" s="505">
        <v>191869</v>
      </c>
      <c r="O1456" s="509">
        <f>IF(N1456/M1456*100&gt;110,110,N1456/M1456*100)</f>
        <v>99.909395291679473</v>
      </c>
      <c r="P1456" s="136"/>
      <c r="Q1456" s="506"/>
      <c r="R1456" s="507"/>
      <c r="S1456" s="579"/>
      <c r="T1456" s="110"/>
    </row>
    <row r="1457" spans="1:47" s="111" customFormat="1" ht="72.75" customHeight="1" x14ac:dyDescent="0.35">
      <c r="A1457" s="576"/>
      <c r="B1457" s="600"/>
      <c r="C1457" s="507"/>
      <c r="D1457" s="510"/>
      <c r="E1457" s="505"/>
      <c r="F1457" s="505"/>
      <c r="G1457" s="505"/>
      <c r="H1457" s="509"/>
      <c r="I1457" s="505"/>
      <c r="J1457" s="505" t="s">
        <v>48</v>
      </c>
      <c r="K1457" s="137" t="s">
        <v>194</v>
      </c>
      <c r="L1457" s="505" t="s">
        <v>189</v>
      </c>
      <c r="M1457" s="505">
        <v>18973</v>
      </c>
      <c r="N1457" s="505">
        <v>18973</v>
      </c>
      <c r="O1457" s="509">
        <f>IF(N1457/M1457*100&gt;110,110,N1457/M1457*100)</f>
        <v>100</v>
      </c>
      <c r="P1457" s="505"/>
      <c r="Q1457" s="506"/>
      <c r="R1457" s="507"/>
      <c r="S1457" s="579"/>
      <c r="T1457" s="110"/>
    </row>
    <row r="1458" spans="1:47" s="111" customFormat="1" ht="60" customHeight="1" x14ac:dyDescent="0.35">
      <c r="A1458" s="576"/>
      <c r="B1458" s="600"/>
      <c r="C1458" s="507"/>
      <c r="D1458" s="510"/>
      <c r="E1458" s="505"/>
      <c r="F1458" s="505"/>
      <c r="G1458" s="505"/>
      <c r="H1458" s="509"/>
      <c r="I1458" s="505"/>
      <c r="J1458" s="505" t="s">
        <v>49</v>
      </c>
      <c r="K1458" s="137" t="s">
        <v>191</v>
      </c>
      <c r="L1458" s="505" t="s">
        <v>189</v>
      </c>
      <c r="M1458" s="505">
        <v>17568</v>
      </c>
      <c r="N1458" s="505">
        <v>17792</v>
      </c>
      <c r="O1458" s="509">
        <f>IF(N1458/M1458*100&gt;110,110,N1458/M1458*100)</f>
        <v>101.27504553734062</v>
      </c>
      <c r="P1458" s="136"/>
      <c r="Q1458" s="506"/>
      <c r="R1458" s="507"/>
      <c r="S1458" s="579"/>
      <c r="T1458" s="110"/>
    </row>
    <row r="1459" spans="1:47" s="520" customFormat="1" ht="51.75" customHeight="1" x14ac:dyDescent="0.35">
      <c r="A1459" s="576"/>
      <c r="B1459" s="600"/>
      <c r="C1459" s="182"/>
      <c r="D1459" s="183" t="s">
        <v>445</v>
      </c>
      <c r="E1459" s="184"/>
      <c r="F1459" s="185"/>
      <c r="G1459" s="186"/>
      <c r="H1459" s="187"/>
      <c r="I1459" s="187">
        <f>H1454</f>
        <v>99.2</v>
      </c>
      <c r="J1459" s="184"/>
      <c r="K1459" s="183" t="s">
        <v>445</v>
      </c>
      <c r="L1459" s="184"/>
      <c r="M1459" s="188"/>
      <c r="N1459" s="188"/>
      <c r="O1459" s="187"/>
      <c r="P1459" s="187">
        <f>(O1458+O1456+O1455+O1457)/4</f>
        <v>100.52141451437113</v>
      </c>
      <c r="Q1459" s="187">
        <f>(I1459+P1459)/2</f>
        <v>99.860707257185567</v>
      </c>
      <c r="R1459" s="191" t="s">
        <v>361</v>
      </c>
      <c r="S1459" s="614"/>
      <c r="T1459" s="523"/>
      <c r="U1459" s="524"/>
      <c r="V1459" s="126"/>
      <c r="W1459" s="126"/>
      <c r="X1459" s="126"/>
      <c r="Y1459" s="126"/>
      <c r="Z1459" s="126"/>
      <c r="AA1459" s="126"/>
      <c r="AB1459" s="126"/>
      <c r="AC1459" s="126"/>
      <c r="AD1459" s="126"/>
      <c r="AE1459" s="126"/>
      <c r="AF1459" s="126"/>
      <c r="AG1459" s="126"/>
      <c r="AH1459" s="126"/>
      <c r="AI1459" s="126"/>
      <c r="AJ1459" s="126"/>
      <c r="AK1459" s="126"/>
      <c r="AL1459" s="126"/>
      <c r="AM1459" s="126"/>
      <c r="AN1459" s="126"/>
      <c r="AO1459" s="126"/>
      <c r="AP1459" s="126"/>
      <c r="AQ1459" s="126"/>
      <c r="AR1459" s="126"/>
      <c r="AS1459" s="126"/>
      <c r="AT1459" s="126"/>
      <c r="AU1459" s="126"/>
    </row>
    <row r="1460" spans="1:47" s="122" customFormat="1" ht="67.5" x14ac:dyDescent="0.35">
      <c r="A1460" s="576"/>
      <c r="B1460" s="600"/>
      <c r="C1460" s="500" t="s">
        <v>13</v>
      </c>
      <c r="D1460" s="112" t="s">
        <v>381</v>
      </c>
      <c r="E1460" s="120"/>
      <c r="F1460" s="120"/>
      <c r="G1460" s="120"/>
      <c r="H1460" s="506"/>
      <c r="I1460" s="506"/>
      <c r="J1460" s="120" t="str">
        <f>C1460</f>
        <v>II</v>
      </c>
      <c r="K1460" s="342" t="str">
        <f>D1460</f>
        <v>Реализация адаптированных дополнительных общеобразовательных программ</v>
      </c>
      <c r="L1460" s="120"/>
      <c r="M1460" s="120"/>
      <c r="N1460" s="120"/>
      <c r="O1460" s="506"/>
      <c r="P1460" s="136"/>
      <c r="Q1460" s="506"/>
      <c r="R1460" s="500"/>
      <c r="S1460" s="579"/>
      <c r="T1460" s="110"/>
    </row>
    <row r="1461" spans="1:47" s="111" customFormat="1" ht="60" customHeight="1" x14ac:dyDescent="0.35">
      <c r="A1461" s="576"/>
      <c r="B1461" s="600"/>
      <c r="C1461" s="507" t="s">
        <v>14</v>
      </c>
      <c r="D1461" s="510" t="s">
        <v>382</v>
      </c>
      <c r="E1461" s="505" t="s">
        <v>25</v>
      </c>
      <c r="F1461" s="505">
        <v>100</v>
      </c>
      <c r="G1461" s="505">
        <v>99.2</v>
      </c>
      <c r="H1461" s="509">
        <f>IF(G1461/F1461*100&gt;100,100,G1461/F1461*100)</f>
        <v>99.2</v>
      </c>
      <c r="I1461" s="505"/>
      <c r="J1461" s="505" t="s">
        <v>14</v>
      </c>
      <c r="K1461" s="137" t="s">
        <v>406</v>
      </c>
      <c r="L1461" s="505" t="s">
        <v>189</v>
      </c>
      <c r="M1461" s="505">
        <v>974</v>
      </c>
      <c r="N1461" s="505">
        <v>1057</v>
      </c>
      <c r="O1461" s="509">
        <f>IF(N1461/M1461*100&gt;110,110,N1461/M1461*100)</f>
        <v>108.52156057494867</v>
      </c>
      <c r="P1461" s="136"/>
      <c r="Q1461" s="506"/>
      <c r="R1461" s="507"/>
      <c r="S1461" s="579"/>
      <c r="T1461" s="110"/>
    </row>
    <row r="1462" spans="1:47" s="124" customFormat="1" ht="44.25" customHeight="1" x14ac:dyDescent="0.35">
      <c r="A1462" s="576"/>
      <c r="B1462" s="600"/>
      <c r="C1462" s="182"/>
      <c r="D1462" s="183" t="s">
        <v>445</v>
      </c>
      <c r="E1462" s="184"/>
      <c r="F1462" s="185"/>
      <c r="G1462" s="186"/>
      <c r="H1462" s="187"/>
      <c r="I1462" s="187">
        <f>H1461</f>
        <v>99.2</v>
      </c>
      <c r="J1462" s="184"/>
      <c r="K1462" s="183" t="s">
        <v>445</v>
      </c>
      <c r="L1462" s="184"/>
      <c r="M1462" s="188"/>
      <c r="N1462" s="188"/>
      <c r="O1462" s="187"/>
      <c r="P1462" s="187">
        <f>O1461</f>
        <v>108.52156057494867</v>
      </c>
      <c r="Q1462" s="187">
        <f>(I1462+P1462)/2</f>
        <v>103.86078028747434</v>
      </c>
      <c r="R1462" s="191" t="s">
        <v>31</v>
      </c>
      <c r="S1462" s="579"/>
      <c r="T1462" s="110"/>
      <c r="U1462" s="189"/>
    </row>
    <row r="1463" spans="1:47" s="111" customFormat="1" ht="54" customHeight="1" x14ac:dyDescent="0.35">
      <c r="A1463" s="576"/>
      <c r="B1463" s="600"/>
      <c r="C1463" s="500" t="s">
        <v>28</v>
      </c>
      <c r="D1463" s="112" t="s">
        <v>276</v>
      </c>
      <c r="E1463" s="505"/>
      <c r="F1463" s="505"/>
      <c r="G1463" s="505"/>
      <c r="H1463" s="506"/>
      <c r="I1463" s="506"/>
      <c r="J1463" s="120" t="s">
        <v>28</v>
      </c>
      <c r="K1463" s="135" t="str">
        <f>D1463</f>
        <v>Организация и проведение культурно-массовых мероприятий</v>
      </c>
      <c r="L1463" s="505"/>
      <c r="M1463" s="505"/>
      <c r="N1463" s="505"/>
      <c r="O1463" s="506"/>
      <c r="P1463" s="506"/>
      <c r="Q1463" s="506"/>
      <c r="R1463" s="507"/>
      <c r="S1463" s="579"/>
      <c r="T1463" s="110"/>
    </row>
    <row r="1464" spans="1:47" s="111" customFormat="1" ht="42" customHeight="1" x14ac:dyDescent="0.35">
      <c r="A1464" s="576"/>
      <c r="B1464" s="600"/>
      <c r="C1464" s="507" t="s">
        <v>29</v>
      </c>
      <c r="D1464" s="510" t="s">
        <v>192</v>
      </c>
      <c r="E1464" s="505"/>
      <c r="F1464" s="505"/>
      <c r="G1464" s="505"/>
      <c r="H1464" s="509"/>
      <c r="I1464" s="505"/>
      <c r="J1464" s="505" t="s">
        <v>29</v>
      </c>
      <c r="K1464" s="508" t="s">
        <v>193</v>
      </c>
      <c r="L1464" s="505"/>
      <c r="M1464" s="505"/>
      <c r="N1464" s="505"/>
      <c r="O1464" s="509"/>
      <c r="P1464" s="505"/>
      <c r="Q1464" s="506"/>
      <c r="R1464" s="507"/>
      <c r="S1464" s="579"/>
      <c r="T1464" s="110"/>
    </row>
    <row r="1465" spans="1:47" s="111" customFormat="1" ht="46.5" customHeight="1" x14ac:dyDescent="0.35">
      <c r="A1465" s="576"/>
      <c r="B1465" s="600"/>
      <c r="C1465" s="505" t="s">
        <v>447</v>
      </c>
      <c r="D1465" s="510" t="s">
        <v>340</v>
      </c>
      <c r="E1465" s="505" t="s">
        <v>25</v>
      </c>
      <c r="F1465" s="505">
        <v>100</v>
      </c>
      <c r="G1465" s="505">
        <v>100</v>
      </c>
      <c r="H1465" s="509">
        <f>IF(G1465/F1465*100&gt;100,100,G1465/F1465*100)</f>
        <v>100</v>
      </c>
      <c r="I1465" s="505"/>
      <c r="J1465" s="505" t="s">
        <v>447</v>
      </c>
      <c r="K1465" s="508" t="str">
        <f>D1465</f>
        <v>творческие (фестивали, выставки, конкурсы, смотры)</v>
      </c>
      <c r="L1465" s="505" t="s">
        <v>41</v>
      </c>
      <c r="M1465" s="505">
        <v>11</v>
      </c>
      <c r="N1465" s="505">
        <v>11</v>
      </c>
      <c r="O1465" s="509">
        <f>IF(N1465/M1465*100&gt;110,110,N1465/M1465*100)</f>
        <v>100</v>
      </c>
      <c r="P1465" s="505"/>
      <c r="Q1465" s="506"/>
      <c r="R1465" s="507"/>
      <c r="S1465" s="579"/>
      <c r="T1465" s="110"/>
    </row>
    <row r="1466" spans="1:47" s="111" customFormat="1" ht="46.5" customHeight="1" x14ac:dyDescent="0.35">
      <c r="A1466" s="576"/>
      <c r="B1466" s="600"/>
      <c r="C1466" s="505" t="s">
        <v>448</v>
      </c>
      <c r="D1466" s="510" t="s">
        <v>341</v>
      </c>
      <c r="E1466" s="505" t="s">
        <v>25</v>
      </c>
      <c r="F1466" s="505">
        <v>100</v>
      </c>
      <c r="G1466" s="505">
        <v>100</v>
      </c>
      <c r="H1466" s="509">
        <f>IF(G1466/F1466*100&gt;100,100,G1466/F1466*100)</f>
        <v>100</v>
      </c>
      <c r="I1466" s="505"/>
      <c r="J1466" s="505" t="s">
        <v>448</v>
      </c>
      <c r="K1466" s="508" t="str">
        <f>D1466</f>
        <v>культурно-массовые (иные зрелищные мероприятия)</v>
      </c>
      <c r="L1466" s="505" t="s">
        <v>41</v>
      </c>
      <c r="M1466" s="505">
        <v>14</v>
      </c>
      <c r="N1466" s="505">
        <v>14</v>
      </c>
      <c r="O1466" s="509">
        <f>IF(N1466/M1466*100&gt;110,110,N1466/M1466*100)</f>
        <v>100</v>
      </c>
      <c r="P1466" s="505"/>
      <c r="Q1466" s="506"/>
      <c r="R1466" s="507"/>
      <c r="S1466" s="579"/>
      <c r="T1466" s="110"/>
    </row>
    <row r="1467" spans="1:47" s="111" customFormat="1" ht="42" customHeight="1" x14ac:dyDescent="0.35">
      <c r="A1467" s="576"/>
      <c r="B1467" s="600"/>
      <c r="C1467" s="505" t="s">
        <v>449</v>
      </c>
      <c r="D1467" s="510" t="s">
        <v>327</v>
      </c>
      <c r="E1467" s="505" t="s">
        <v>25</v>
      </c>
      <c r="F1467" s="505">
        <v>100</v>
      </c>
      <c r="G1467" s="505">
        <v>100</v>
      </c>
      <c r="H1467" s="509">
        <f>IF(G1467/F1467*100&gt;100,100,G1467/F1467*100)</f>
        <v>100</v>
      </c>
      <c r="I1467" s="505"/>
      <c r="J1467" s="505" t="s">
        <v>449</v>
      </c>
      <c r="K1467" s="508" t="str">
        <f>D1467</f>
        <v>мастер-классы</v>
      </c>
      <c r="L1467" s="505" t="s">
        <v>41</v>
      </c>
      <c r="M1467" s="505">
        <v>1</v>
      </c>
      <c r="N1467" s="505">
        <v>1</v>
      </c>
      <c r="O1467" s="509">
        <f>IF(N1467/M1467*100&gt;110,110,N1467/M1467*100)</f>
        <v>100</v>
      </c>
      <c r="P1467" s="505"/>
      <c r="Q1467" s="506"/>
      <c r="R1467" s="507"/>
      <c r="S1467" s="579"/>
      <c r="T1467" s="110"/>
    </row>
    <row r="1468" spans="1:47" s="111" customFormat="1" ht="42" customHeight="1" x14ac:dyDescent="0.35">
      <c r="A1468" s="576"/>
      <c r="B1468" s="600"/>
      <c r="C1468" s="505" t="s">
        <v>613</v>
      </c>
      <c r="D1468" s="510" t="s">
        <v>342</v>
      </c>
      <c r="E1468" s="505" t="s">
        <v>25</v>
      </c>
      <c r="F1468" s="505">
        <v>100</v>
      </c>
      <c r="G1468" s="505">
        <v>100</v>
      </c>
      <c r="H1468" s="509">
        <f>IF(G1468/F1468*100&gt;100,100,G1468/F1468*100)</f>
        <v>100</v>
      </c>
      <c r="I1468" s="505"/>
      <c r="J1468" s="505" t="s">
        <v>613</v>
      </c>
      <c r="K1468" s="508" t="str">
        <f>D1468</f>
        <v>методические (семинар, конференция)</v>
      </c>
      <c r="L1468" s="505" t="s">
        <v>41</v>
      </c>
      <c r="M1468" s="505">
        <v>4</v>
      </c>
      <c r="N1468" s="505">
        <v>4</v>
      </c>
      <c r="O1468" s="509">
        <f>IF(N1468/M1468*100&gt;110,110,N1468/M1468*100)</f>
        <v>100</v>
      </c>
      <c r="P1468" s="505"/>
      <c r="Q1468" s="506"/>
      <c r="R1468" s="507"/>
      <c r="S1468" s="579"/>
      <c r="T1468" s="110"/>
    </row>
    <row r="1469" spans="1:47" s="124" customFormat="1" ht="56.25" customHeight="1" x14ac:dyDescent="0.35">
      <c r="A1469" s="576"/>
      <c r="B1469" s="600"/>
      <c r="C1469" s="182"/>
      <c r="D1469" s="183" t="s">
        <v>445</v>
      </c>
      <c r="E1469" s="184"/>
      <c r="F1469" s="185"/>
      <c r="G1469" s="186"/>
      <c r="H1469" s="187"/>
      <c r="I1469" s="187">
        <f>(H1467+H1468+H1466+H1465)/4</f>
        <v>100</v>
      </c>
      <c r="J1469" s="184"/>
      <c r="K1469" s="183" t="s">
        <v>445</v>
      </c>
      <c r="L1469" s="184"/>
      <c r="M1469" s="188"/>
      <c r="N1469" s="188"/>
      <c r="O1469" s="187"/>
      <c r="P1469" s="187">
        <f>(O1468+O1467+O1466+O1465)/4</f>
        <v>100</v>
      </c>
      <c r="Q1469" s="187">
        <f>(I1469+P1469)/2</f>
        <v>100</v>
      </c>
      <c r="R1469" s="191" t="s">
        <v>31</v>
      </c>
      <c r="S1469" s="579"/>
      <c r="T1469" s="110"/>
      <c r="U1469" s="189"/>
    </row>
    <row r="1470" spans="1:47" s="111" customFormat="1" ht="82.5" customHeight="1" x14ac:dyDescent="0.35">
      <c r="A1470" s="576">
        <v>77</v>
      </c>
      <c r="B1470" s="600" t="s">
        <v>196</v>
      </c>
      <c r="C1470" s="500" t="s">
        <v>12</v>
      </c>
      <c r="D1470" s="112" t="s">
        <v>211</v>
      </c>
      <c r="E1470" s="120"/>
      <c r="F1470" s="120"/>
      <c r="G1470" s="120"/>
      <c r="H1470" s="506"/>
      <c r="I1470" s="506"/>
      <c r="J1470" s="120" t="s">
        <v>12</v>
      </c>
      <c r="K1470" s="135" t="s">
        <v>211</v>
      </c>
      <c r="L1470" s="505"/>
      <c r="M1470" s="505"/>
      <c r="N1470" s="505"/>
      <c r="O1470" s="506"/>
      <c r="P1470" s="506"/>
      <c r="Q1470" s="506"/>
      <c r="R1470" s="507"/>
      <c r="S1470" s="579" t="s">
        <v>280</v>
      </c>
      <c r="T1470" s="110"/>
    </row>
    <row r="1471" spans="1:47" s="111" customFormat="1" ht="73.5" customHeight="1" x14ac:dyDescent="0.35">
      <c r="A1471" s="576"/>
      <c r="B1471" s="600"/>
      <c r="C1471" s="507" t="s">
        <v>7</v>
      </c>
      <c r="D1471" s="510" t="s">
        <v>188</v>
      </c>
      <c r="E1471" s="505" t="s">
        <v>25</v>
      </c>
      <c r="F1471" s="505">
        <v>100</v>
      </c>
      <c r="G1471" s="505">
        <v>99.6</v>
      </c>
      <c r="H1471" s="509">
        <f>IF(G1471/F1471*100&gt;100,100,G1471/F1471*100)</f>
        <v>99.6</v>
      </c>
      <c r="I1471" s="505"/>
      <c r="J1471" s="505" t="s">
        <v>7</v>
      </c>
      <c r="K1471" s="137" t="s">
        <v>477</v>
      </c>
      <c r="L1471" s="505" t="s">
        <v>189</v>
      </c>
      <c r="M1471" s="505"/>
      <c r="N1471" s="505"/>
      <c r="O1471" s="509"/>
      <c r="P1471" s="136"/>
      <c r="Q1471" s="506"/>
      <c r="R1471" s="505"/>
      <c r="S1471" s="579"/>
      <c r="T1471" s="110"/>
    </row>
    <row r="1472" spans="1:47" s="111" customFormat="1" ht="78" customHeight="1" x14ac:dyDescent="0.35">
      <c r="A1472" s="576"/>
      <c r="B1472" s="600"/>
      <c r="C1472" s="507"/>
      <c r="D1472" s="510"/>
      <c r="E1472" s="505"/>
      <c r="F1472" s="522"/>
      <c r="G1472" s="522"/>
      <c r="H1472" s="509"/>
      <c r="I1472" s="505"/>
      <c r="J1472" s="505" t="s">
        <v>46</v>
      </c>
      <c r="K1472" s="137" t="s">
        <v>406</v>
      </c>
      <c r="L1472" s="505" t="s">
        <v>189</v>
      </c>
      <c r="M1472" s="505">
        <v>36667</v>
      </c>
      <c r="N1472" s="505">
        <v>37993</v>
      </c>
      <c r="O1472" s="509">
        <f>IF(N1472/M1472*100&gt;110,110,N1472/M1472*100)</f>
        <v>103.61633076062944</v>
      </c>
      <c r="P1472" s="136"/>
      <c r="Q1472" s="506"/>
      <c r="R1472" s="507"/>
      <c r="S1472" s="579"/>
      <c r="T1472" s="110"/>
    </row>
    <row r="1473" spans="1:47" s="111" customFormat="1" ht="69" customHeight="1" x14ac:dyDescent="0.35">
      <c r="A1473" s="576"/>
      <c r="B1473" s="600"/>
      <c r="C1473" s="507"/>
      <c r="D1473" s="510"/>
      <c r="E1473" s="505"/>
      <c r="F1473" s="505"/>
      <c r="G1473" s="505"/>
      <c r="H1473" s="509"/>
      <c r="I1473" s="505"/>
      <c r="J1473" s="505" t="s">
        <v>47</v>
      </c>
      <c r="K1473" s="137" t="s">
        <v>190</v>
      </c>
      <c r="L1473" s="505" t="s">
        <v>189</v>
      </c>
      <c r="M1473" s="505">
        <v>229388</v>
      </c>
      <c r="N1473" s="505">
        <v>227871</v>
      </c>
      <c r="O1473" s="509">
        <f>IF(N1473/M1473*100&gt;110,110,N1473/M1473*100)</f>
        <v>99.338675083265031</v>
      </c>
      <c r="P1473" s="136"/>
      <c r="Q1473" s="506"/>
      <c r="R1473" s="507"/>
      <c r="S1473" s="579"/>
      <c r="T1473" s="110"/>
    </row>
    <row r="1474" spans="1:47" s="111" customFormat="1" ht="63" customHeight="1" x14ac:dyDescent="0.35">
      <c r="A1474" s="576"/>
      <c r="B1474" s="600"/>
      <c r="C1474" s="507"/>
      <c r="D1474" s="510"/>
      <c r="E1474" s="505"/>
      <c r="F1474" s="505"/>
      <c r="G1474" s="505"/>
      <c r="H1474" s="509"/>
      <c r="I1474" s="505"/>
      <c r="J1474" s="505" t="s">
        <v>48</v>
      </c>
      <c r="K1474" s="137" t="s">
        <v>194</v>
      </c>
      <c r="L1474" s="505" t="s">
        <v>189</v>
      </c>
      <c r="M1474" s="505">
        <v>17854</v>
      </c>
      <c r="N1474" s="505">
        <v>17776</v>
      </c>
      <c r="O1474" s="509">
        <f>IF(N1474/M1474*100&gt;110,110,N1474/M1474*100)</f>
        <v>99.563123109667302</v>
      </c>
      <c r="P1474" s="136"/>
      <c r="Q1474" s="506"/>
      <c r="R1474" s="507"/>
      <c r="S1474" s="579"/>
      <c r="T1474" s="110"/>
    </row>
    <row r="1475" spans="1:47" s="111" customFormat="1" ht="73.5" customHeight="1" x14ac:dyDescent="0.35">
      <c r="A1475" s="576"/>
      <c r="B1475" s="600"/>
      <c r="C1475" s="507"/>
      <c r="D1475" s="510"/>
      <c r="E1475" s="505"/>
      <c r="F1475" s="505"/>
      <c r="G1475" s="505"/>
      <c r="H1475" s="509"/>
      <c r="I1475" s="505"/>
      <c r="J1475" s="505" t="s">
        <v>49</v>
      </c>
      <c r="K1475" s="137" t="s">
        <v>191</v>
      </c>
      <c r="L1475" s="505" t="s">
        <v>189</v>
      </c>
      <c r="M1475" s="505">
        <v>14679</v>
      </c>
      <c r="N1475" s="505">
        <v>15077</v>
      </c>
      <c r="O1475" s="509">
        <f>IF(N1475/M1475*100&gt;110,110,N1475/M1475*100)</f>
        <v>102.71135635942503</v>
      </c>
      <c r="P1475" s="136"/>
      <c r="Q1475" s="506"/>
      <c r="R1475" s="507"/>
      <c r="S1475" s="579"/>
      <c r="T1475" s="110"/>
    </row>
    <row r="1476" spans="1:47" s="124" customFormat="1" ht="42" customHeight="1" x14ac:dyDescent="0.35">
      <c r="A1476" s="576"/>
      <c r="B1476" s="600"/>
      <c r="C1476" s="182"/>
      <c r="D1476" s="183" t="s">
        <v>445</v>
      </c>
      <c r="E1476" s="184"/>
      <c r="F1476" s="185"/>
      <c r="G1476" s="186"/>
      <c r="H1476" s="187"/>
      <c r="I1476" s="187">
        <f>H1471</f>
        <v>99.6</v>
      </c>
      <c r="J1476" s="184"/>
      <c r="K1476" s="183" t="s">
        <v>445</v>
      </c>
      <c r="L1476" s="184"/>
      <c r="M1476" s="188"/>
      <c r="N1476" s="188"/>
      <c r="O1476" s="187"/>
      <c r="P1476" s="187">
        <f>(O1475+O1474+O1473+O1472)/4</f>
        <v>101.30737132824672</v>
      </c>
      <c r="Q1476" s="187">
        <f>(I1476+P1476)/2</f>
        <v>100.45368566412336</v>
      </c>
      <c r="R1476" s="191" t="s">
        <v>31</v>
      </c>
      <c r="S1476" s="579"/>
      <c r="T1476" s="110"/>
      <c r="U1476" s="189"/>
    </row>
    <row r="1477" spans="1:47" s="111" customFormat="1" ht="51" customHeight="1" x14ac:dyDescent="0.35">
      <c r="A1477" s="576"/>
      <c r="B1477" s="600"/>
      <c r="C1477" s="500" t="s">
        <v>13</v>
      </c>
      <c r="D1477" s="112" t="s">
        <v>276</v>
      </c>
      <c r="E1477" s="505"/>
      <c r="F1477" s="505"/>
      <c r="G1477" s="505"/>
      <c r="H1477" s="506"/>
      <c r="I1477" s="506"/>
      <c r="J1477" s="120" t="s">
        <v>13</v>
      </c>
      <c r="K1477" s="135" t="s">
        <v>276</v>
      </c>
      <c r="L1477" s="505"/>
      <c r="M1477" s="505"/>
      <c r="N1477" s="505"/>
      <c r="O1477" s="506"/>
      <c r="P1477" s="506"/>
      <c r="Q1477" s="506"/>
      <c r="R1477" s="507"/>
      <c r="S1477" s="579"/>
      <c r="T1477" s="110"/>
    </row>
    <row r="1478" spans="1:47" s="111" customFormat="1" ht="51" customHeight="1" x14ac:dyDescent="0.35">
      <c r="A1478" s="576"/>
      <c r="B1478" s="600"/>
      <c r="C1478" s="507" t="s">
        <v>14</v>
      </c>
      <c r="D1478" s="510" t="s">
        <v>192</v>
      </c>
      <c r="E1478" s="505"/>
      <c r="F1478" s="505"/>
      <c r="G1478" s="505"/>
      <c r="H1478" s="509"/>
      <c r="I1478" s="505"/>
      <c r="J1478" s="505" t="s">
        <v>14</v>
      </c>
      <c r="K1478" s="508" t="s">
        <v>193</v>
      </c>
      <c r="L1478" s="505"/>
      <c r="M1478" s="505"/>
      <c r="N1478" s="505"/>
      <c r="O1478" s="509"/>
      <c r="P1478" s="505"/>
      <c r="Q1478" s="506"/>
      <c r="R1478" s="507"/>
      <c r="S1478" s="579"/>
      <c r="T1478" s="110"/>
    </row>
    <row r="1479" spans="1:47" s="111" customFormat="1" ht="51" customHeight="1" x14ac:dyDescent="0.35">
      <c r="A1479" s="576"/>
      <c r="B1479" s="600"/>
      <c r="C1479" s="505" t="s">
        <v>452</v>
      </c>
      <c r="D1479" s="510" t="s">
        <v>340</v>
      </c>
      <c r="E1479" s="505" t="s">
        <v>25</v>
      </c>
      <c r="F1479" s="505">
        <v>100</v>
      </c>
      <c r="G1479" s="505">
        <v>100</v>
      </c>
      <c r="H1479" s="509">
        <f>IF(G1479/F1479*100&gt;100,100,G1479/F1479*100)</f>
        <v>100</v>
      </c>
      <c r="I1479" s="505"/>
      <c r="J1479" s="505" t="s">
        <v>452</v>
      </c>
      <c r="K1479" s="508" t="str">
        <f>D1479</f>
        <v>творческие (фестивали, выставки, конкурсы, смотры)</v>
      </c>
      <c r="L1479" s="505" t="s">
        <v>41</v>
      </c>
      <c r="M1479" s="505">
        <v>38</v>
      </c>
      <c r="N1479" s="505">
        <v>38</v>
      </c>
      <c r="O1479" s="509">
        <f>IF(N1479/M1479*100&gt;110,110,N1479/M1479*100)</f>
        <v>100</v>
      </c>
      <c r="P1479" s="505"/>
      <c r="Q1479" s="506"/>
      <c r="R1479" s="507"/>
      <c r="S1479" s="579"/>
      <c r="T1479" s="110"/>
    </row>
    <row r="1480" spans="1:47" s="111" customFormat="1" ht="51" customHeight="1" x14ac:dyDescent="0.35">
      <c r="A1480" s="576"/>
      <c r="B1480" s="600"/>
      <c r="C1480" s="505" t="s">
        <v>611</v>
      </c>
      <c r="D1480" s="510" t="s">
        <v>341</v>
      </c>
      <c r="E1480" s="505" t="s">
        <v>25</v>
      </c>
      <c r="F1480" s="505">
        <v>100</v>
      </c>
      <c r="G1480" s="505">
        <v>100</v>
      </c>
      <c r="H1480" s="509">
        <f>IF(G1480/F1480*100&gt;100,100,G1480/F1480*100)</f>
        <v>100</v>
      </c>
      <c r="I1480" s="505"/>
      <c r="J1480" s="505" t="s">
        <v>611</v>
      </c>
      <c r="K1480" s="508" t="str">
        <f>D1480</f>
        <v>культурно-массовые (иные зрелищные мероприятия)</v>
      </c>
      <c r="L1480" s="505" t="s">
        <v>41</v>
      </c>
      <c r="M1480" s="505">
        <v>22</v>
      </c>
      <c r="N1480" s="505">
        <v>22</v>
      </c>
      <c r="O1480" s="509">
        <f>IF(N1480/M1480*100&gt;110,110,N1480/M1480*100)</f>
        <v>100</v>
      </c>
      <c r="P1480" s="505"/>
      <c r="Q1480" s="506"/>
      <c r="R1480" s="507"/>
      <c r="S1480" s="579"/>
      <c r="T1480" s="110"/>
    </row>
    <row r="1481" spans="1:47" s="111" customFormat="1" ht="51" customHeight="1" x14ac:dyDescent="0.35">
      <c r="A1481" s="576"/>
      <c r="B1481" s="600"/>
      <c r="C1481" s="139" t="s">
        <v>612</v>
      </c>
      <c r="D1481" s="510" t="s">
        <v>327</v>
      </c>
      <c r="E1481" s="505" t="s">
        <v>25</v>
      </c>
      <c r="F1481" s="505">
        <v>100</v>
      </c>
      <c r="G1481" s="505">
        <v>100</v>
      </c>
      <c r="H1481" s="509">
        <f>IF(G1481/F1481*100&gt;100,100,G1481/F1481*100)</f>
        <v>100</v>
      </c>
      <c r="I1481" s="505"/>
      <c r="J1481" s="139" t="s">
        <v>612</v>
      </c>
      <c r="K1481" s="508" t="str">
        <f>D1481</f>
        <v>мастер-классы</v>
      </c>
      <c r="L1481" s="505" t="s">
        <v>41</v>
      </c>
      <c r="M1481" s="505">
        <v>3</v>
      </c>
      <c r="N1481" s="505">
        <v>3</v>
      </c>
      <c r="O1481" s="509">
        <f>IF(N1481/M1481*100&gt;110,110,N1481/M1481*100)</f>
        <v>100</v>
      </c>
      <c r="P1481" s="505"/>
      <c r="Q1481" s="506"/>
      <c r="R1481" s="507"/>
      <c r="S1481" s="579"/>
      <c r="T1481" s="110"/>
    </row>
    <row r="1482" spans="1:47" s="111" customFormat="1" ht="51" customHeight="1" x14ac:dyDescent="0.35">
      <c r="A1482" s="576"/>
      <c r="B1482" s="600"/>
      <c r="C1482" s="505" t="s">
        <v>614</v>
      </c>
      <c r="D1482" s="510" t="s">
        <v>342</v>
      </c>
      <c r="E1482" s="505" t="s">
        <v>25</v>
      </c>
      <c r="F1482" s="505">
        <v>100</v>
      </c>
      <c r="G1482" s="505">
        <v>100</v>
      </c>
      <c r="H1482" s="509">
        <f>IF(G1482/F1482*100&gt;100,100,G1482/F1482*100)</f>
        <v>100</v>
      </c>
      <c r="I1482" s="505"/>
      <c r="J1482" s="505" t="s">
        <v>614</v>
      </c>
      <c r="K1482" s="508" t="str">
        <f>D1482</f>
        <v>методические (семинар, конференция)</v>
      </c>
      <c r="L1482" s="505" t="s">
        <v>41</v>
      </c>
      <c r="M1482" s="505">
        <v>3</v>
      </c>
      <c r="N1482" s="505">
        <v>3</v>
      </c>
      <c r="O1482" s="509">
        <f>IF(N1482/M1482*100&gt;110,110,N1482/M1482*100)</f>
        <v>100</v>
      </c>
      <c r="P1482" s="505"/>
      <c r="Q1482" s="506"/>
      <c r="R1482" s="507"/>
      <c r="S1482" s="579"/>
      <c r="T1482" s="110"/>
    </row>
    <row r="1483" spans="1:47" s="124" customFormat="1" ht="42" customHeight="1" x14ac:dyDescent="0.35">
      <c r="A1483" s="576"/>
      <c r="B1483" s="600"/>
      <c r="C1483" s="182"/>
      <c r="D1483" s="183" t="s">
        <v>445</v>
      </c>
      <c r="E1483" s="184"/>
      <c r="F1483" s="185"/>
      <c r="G1483" s="186"/>
      <c r="H1483" s="187"/>
      <c r="I1483" s="187">
        <f>(H1480+H1479+H1481+H1482)/4</f>
        <v>100</v>
      </c>
      <c r="J1483" s="184"/>
      <c r="K1483" s="183" t="s">
        <v>445</v>
      </c>
      <c r="L1483" s="184"/>
      <c r="M1483" s="188"/>
      <c r="N1483" s="188"/>
      <c r="O1483" s="187"/>
      <c r="P1483" s="187">
        <f>(O1482+O1481+O1480+O1479)/4</f>
        <v>100</v>
      </c>
      <c r="Q1483" s="187">
        <f>(I1483+P1483)/2</f>
        <v>100</v>
      </c>
      <c r="R1483" s="191" t="s">
        <v>31</v>
      </c>
      <c r="S1483" s="579"/>
      <c r="T1483" s="110"/>
      <c r="U1483" s="111"/>
    </row>
    <row r="1484" spans="1:47" s="111" customFormat="1" ht="67.5" x14ac:dyDescent="0.35">
      <c r="A1484" s="576"/>
      <c r="B1484" s="600"/>
      <c r="C1484" s="500" t="s">
        <v>28</v>
      </c>
      <c r="D1484" s="112" t="s">
        <v>383</v>
      </c>
      <c r="E1484" s="505"/>
      <c r="F1484" s="505"/>
      <c r="G1484" s="505"/>
      <c r="H1484" s="506"/>
      <c r="I1484" s="506"/>
      <c r="J1484" s="120" t="str">
        <f>C1484</f>
        <v>III</v>
      </c>
      <c r="K1484" s="135" t="str">
        <f>D1484</f>
        <v>Реализация адаптированных дополнительных образовательных программ</v>
      </c>
      <c r="L1484" s="505"/>
      <c r="M1484" s="505"/>
      <c r="N1484" s="505"/>
      <c r="O1484" s="506"/>
      <c r="P1484" s="506"/>
      <c r="Q1484" s="506"/>
      <c r="R1484" s="507"/>
      <c r="S1484" s="579"/>
      <c r="T1484" s="110"/>
    </row>
    <row r="1485" spans="1:47" s="111" customFormat="1" ht="51" customHeight="1" x14ac:dyDescent="0.35">
      <c r="A1485" s="576"/>
      <c r="B1485" s="600"/>
      <c r="C1485" s="134" t="s">
        <v>29</v>
      </c>
      <c r="D1485" s="510" t="s">
        <v>382</v>
      </c>
      <c r="E1485" s="505" t="s">
        <v>25</v>
      </c>
      <c r="F1485" s="505">
        <v>100</v>
      </c>
      <c r="G1485" s="505">
        <v>99.6</v>
      </c>
      <c r="H1485" s="509">
        <f>IF(G1485/F1485*100&gt;100,100,G1485/F1485*100)</f>
        <v>99.6</v>
      </c>
      <c r="I1485" s="505"/>
      <c r="J1485" s="505" t="s">
        <v>29</v>
      </c>
      <c r="K1485" s="508" t="s">
        <v>446</v>
      </c>
      <c r="L1485" s="505" t="s">
        <v>189</v>
      </c>
      <c r="M1485" s="505">
        <v>608</v>
      </c>
      <c r="N1485" s="505">
        <v>608</v>
      </c>
      <c r="O1485" s="509">
        <f>IF(N1485/M1485*100&gt;110,110,N1485/M1485*100)</f>
        <v>100</v>
      </c>
      <c r="P1485" s="505"/>
      <c r="Q1485" s="506"/>
      <c r="R1485" s="507"/>
      <c r="S1485" s="579"/>
      <c r="T1485" s="110"/>
    </row>
    <row r="1486" spans="1:47" s="520" customFormat="1" ht="59.25" customHeight="1" x14ac:dyDescent="0.35">
      <c r="A1486" s="576"/>
      <c r="B1486" s="600"/>
      <c r="C1486" s="191"/>
      <c r="D1486" s="183" t="s">
        <v>445</v>
      </c>
      <c r="E1486" s="191"/>
      <c r="F1486" s="184"/>
      <c r="G1486" s="184"/>
      <c r="H1486" s="187"/>
      <c r="I1486" s="187">
        <f>H1485</f>
        <v>99.6</v>
      </c>
      <c r="J1486" s="182"/>
      <c r="K1486" s="183" t="s">
        <v>445</v>
      </c>
      <c r="L1486" s="184"/>
      <c r="M1486" s="188"/>
      <c r="N1486" s="188"/>
      <c r="O1486" s="187"/>
      <c r="P1486" s="187">
        <f>O1485</f>
        <v>100</v>
      </c>
      <c r="Q1486" s="187">
        <f>(I1486+P1486)/2</f>
        <v>99.8</v>
      </c>
      <c r="R1486" s="191" t="s">
        <v>361</v>
      </c>
      <c r="S1486" s="579"/>
      <c r="T1486" s="110"/>
      <c r="U1486" s="111"/>
      <c r="V1486" s="110"/>
      <c r="W1486" s="110"/>
      <c r="X1486" s="110"/>
      <c r="Y1486" s="110"/>
      <c r="Z1486" s="110"/>
      <c r="AA1486" s="110"/>
      <c r="AB1486" s="110"/>
      <c r="AC1486" s="110"/>
      <c r="AD1486" s="110"/>
      <c r="AE1486" s="110"/>
      <c r="AF1486" s="110"/>
      <c r="AG1486" s="110"/>
      <c r="AH1486" s="111"/>
      <c r="AI1486" s="111"/>
      <c r="AJ1486" s="111"/>
      <c r="AK1486" s="111"/>
      <c r="AL1486" s="111"/>
      <c r="AM1486" s="111"/>
      <c r="AN1486" s="111"/>
      <c r="AO1486" s="111"/>
      <c r="AP1486" s="111"/>
      <c r="AQ1486" s="111"/>
      <c r="AR1486" s="111"/>
      <c r="AS1486" s="111"/>
      <c r="AT1486" s="111"/>
      <c r="AU1486" s="111"/>
    </row>
    <row r="1487" spans="1:47" s="111" customFormat="1" ht="97.5" customHeight="1" x14ac:dyDescent="0.35">
      <c r="A1487" s="576">
        <v>78</v>
      </c>
      <c r="B1487" s="600" t="s">
        <v>197</v>
      </c>
      <c r="C1487" s="500" t="s">
        <v>12</v>
      </c>
      <c r="D1487" s="112" t="s">
        <v>211</v>
      </c>
      <c r="E1487" s="120"/>
      <c r="F1487" s="120"/>
      <c r="G1487" s="120"/>
      <c r="H1487" s="506"/>
      <c r="I1487" s="506"/>
      <c r="J1487" s="120" t="s">
        <v>12</v>
      </c>
      <c r="K1487" s="135" t="s">
        <v>211</v>
      </c>
      <c r="L1487" s="505"/>
      <c r="M1487" s="505"/>
      <c r="N1487" s="505"/>
      <c r="O1487" s="506"/>
      <c r="P1487" s="506"/>
      <c r="Q1487" s="506"/>
      <c r="R1487" s="507"/>
      <c r="S1487" s="579" t="s">
        <v>280</v>
      </c>
      <c r="T1487" s="110"/>
    </row>
    <row r="1488" spans="1:47" s="111" customFormat="1" ht="72" customHeight="1" x14ac:dyDescent="0.35">
      <c r="A1488" s="576"/>
      <c r="B1488" s="600"/>
      <c r="C1488" s="507" t="s">
        <v>7</v>
      </c>
      <c r="D1488" s="510" t="s">
        <v>188</v>
      </c>
      <c r="E1488" s="505" t="s">
        <v>25</v>
      </c>
      <c r="F1488" s="505">
        <v>90</v>
      </c>
      <c r="G1488" s="505">
        <v>99.4</v>
      </c>
      <c r="H1488" s="509">
        <f>IF(G1488/F1488*100&gt;100,100,G1488/F1488*100)</f>
        <v>100</v>
      </c>
      <c r="I1488" s="505"/>
      <c r="J1488" s="505" t="s">
        <v>7</v>
      </c>
      <c r="K1488" s="137" t="s">
        <v>477</v>
      </c>
      <c r="L1488" s="505" t="s">
        <v>189</v>
      </c>
      <c r="M1488" s="505"/>
      <c r="N1488" s="505"/>
      <c r="O1488" s="509"/>
      <c r="P1488" s="136"/>
      <c r="Q1488" s="506"/>
      <c r="R1488" s="505"/>
      <c r="S1488" s="579"/>
      <c r="T1488" s="123"/>
    </row>
    <row r="1489" spans="1:21" s="111" customFormat="1" ht="60" customHeight="1" x14ac:dyDescent="0.35">
      <c r="A1489" s="576"/>
      <c r="B1489" s="600"/>
      <c r="C1489" s="507"/>
      <c r="D1489" s="510"/>
      <c r="E1489" s="505"/>
      <c r="F1489" s="522"/>
      <c r="G1489" s="522"/>
      <c r="H1489" s="509"/>
      <c r="I1489" s="505"/>
      <c r="J1489" s="505" t="s">
        <v>46</v>
      </c>
      <c r="K1489" s="137" t="s">
        <v>198</v>
      </c>
      <c r="L1489" s="505" t="s">
        <v>189</v>
      </c>
      <c r="M1489" s="505" t="s">
        <v>555</v>
      </c>
      <c r="N1489" s="505" t="s">
        <v>555</v>
      </c>
      <c r="O1489" s="509">
        <v>0</v>
      </c>
      <c r="P1489" s="136"/>
      <c r="Q1489" s="506"/>
      <c r="R1489" s="505"/>
      <c r="S1489" s="579"/>
      <c r="T1489" s="123"/>
      <c r="U1489" s="520" t="s">
        <v>615</v>
      </c>
    </row>
    <row r="1490" spans="1:21" s="111" customFormat="1" ht="46.5" x14ac:dyDescent="0.35">
      <c r="A1490" s="576"/>
      <c r="B1490" s="600"/>
      <c r="C1490" s="507"/>
      <c r="D1490" s="128"/>
      <c r="E1490" s="505"/>
      <c r="F1490" s="505"/>
      <c r="G1490" s="505"/>
      <c r="H1490" s="509"/>
      <c r="I1490" s="343"/>
      <c r="J1490" s="505" t="s">
        <v>47</v>
      </c>
      <c r="K1490" s="137" t="s">
        <v>406</v>
      </c>
      <c r="L1490" s="505" t="s">
        <v>189</v>
      </c>
      <c r="M1490" s="505">
        <v>65954</v>
      </c>
      <c r="N1490" s="505">
        <v>72151</v>
      </c>
      <c r="O1490" s="509">
        <f>IF(N1490/M1490*100&gt;110,110,N1490/M1490*100)</f>
        <v>109.3959426266792</v>
      </c>
      <c r="P1490" s="136"/>
      <c r="Q1490" s="506"/>
      <c r="R1490" s="507"/>
      <c r="S1490" s="579"/>
      <c r="T1490" s="123"/>
    </row>
    <row r="1491" spans="1:21" s="111" customFormat="1" ht="27.75" customHeight="1" x14ac:dyDescent="0.35">
      <c r="A1491" s="576"/>
      <c r="B1491" s="600"/>
      <c r="C1491" s="507"/>
      <c r="D1491" s="510"/>
      <c r="E1491" s="505"/>
      <c r="F1491" s="505"/>
      <c r="G1491" s="505"/>
      <c r="H1491" s="509"/>
      <c r="I1491" s="505"/>
      <c r="J1491" s="505" t="s">
        <v>48</v>
      </c>
      <c r="K1491" s="137" t="s">
        <v>190</v>
      </c>
      <c r="L1491" s="505" t="s">
        <v>189</v>
      </c>
      <c r="M1491" s="505">
        <v>219752</v>
      </c>
      <c r="N1491" s="505">
        <v>220861</v>
      </c>
      <c r="O1491" s="509">
        <f>IF(N1491/M1491*100&gt;110,110,N1491/M1491*100)</f>
        <v>100.5046597983181</v>
      </c>
      <c r="P1491" s="136"/>
      <c r="Q1491" s="506"/>
      <c r="R1491" s="507"/>
      <c r="S1491" s="579"/>
      <c r="T1491" s="123"/>
    </row>
    <row r="1492" spans="1:21" s="111" customFormat="1" ht="27.75" customHeight="1" x14ac:dyDescent="0.35">
      <c r="A1492" s="576"/>
      <c r="B1492" s="600"/>
      <c r="C1492" s="507"/>
      <c r="D1492" s="510"/>
      <c r="E1492" s="505"/>
      <c r="F1492" s="505"/>
      <c r="G1492" s="505"/>
      <c r="H1492" s="509"/>
      <c r="I1492" s="505"/>
      <c r="J1492" s="505" t="s">
        <v>49</v>
      </c>
      <c r="K1492" s="137" t="s">
        <v>194</v>
      </c>
      <c r="L1492" s="505" t="s">
        <v>189</v>
      </c>
      <c r="M1492" s="505">
        <v>31484</v>
      </c>
      <c r="N1492" s="505">
        <v>29073</v>
      </c>
      <c r="O1492" s="509">
        <f>IF(N1492/M1492*100&gt;110,110,N1492/M1492*100)</f>
        <v>92.34214204040147</v>
      </c>
      <c r="P1492" s="136"/>
      <c r="Q1492" s="506"/>
      <c r="R1492" s="507"/>
      <c r="S1492" s="579"/>
      <c r="T1492" s="123"/>
    </row>
    <row r="1493" spans="1:21" s="111" customFormat="1" ht="46.5" x14ac:dyDescent="0.35">
      <c r="A1493" s="576"/>
      <c r="B1493" s="600"/>
      <c r="C1493" s="507"/>
      <c r="D1493" s="510"/>
      <c r="E1493" s="505"/>
      <c r="F1493" s="505"/>
      <c r="G1493" s="505"/>
      <c r="H1493" s="509"/>
      <c r="I1493" s="505"/>
      <c r="J1493" s="505" t="s">
        <v>50</v>
      </c>
      <c r="K1493" s="137" t="s">
        <v>191</v>
      </c>
      <c r="L1493" s="505" t="s">
        <v>189</v>
      </c>
      <c r="M1493" s="505">
        <v>25016</v>
      </c>
      <c r="N1493" s="505">
        <v>23698</v>
      </c>
      <c r="O1493" s="509">
        <f>IF(N1493/M1493*100&gt;110,110,N1493/M1493*100)</f>
        <v>94.731371921969938</v>
      </c>
      <c r="P1493" s="136"/>
      <c r="Q1493" s="506"/>
      <c r="R1493" s="507"/>
      <c r="S1493" s="579"/>
      <c r="T1493" s="123"/>
    </row>
    <row r="1494" spans="1:21" s="124" customFormat="1" ht="42" customHeight="1" x14ac:dyDescent="0.35">
      <c r="A1494" s="576"/>
      <c r="B1494" s="600"/>
      <c r="C1494" s="182"/>
      <c r="D1494" s="183" t="s">
        <v>445</v>
      </c>
      <c r="E1494" s="184"/>
      <c r="F1494" s="185"/>
      <c r="G1494" s="186"/>
      <c r="H1494" s="187"/>
      <c r="I1494" s="187">
        <f>H1488</f>
        <v>100</v>
      </c>
      <c r="J1494" s="184"/>
      <c r="K1494" s="183" t="s">
        <v>445</v>
      </c>
      <c r="L1494" s="184"/>
      <c r="M1494" s="188"/>
      <c r="N1494" s="188"/>
      <c r="O1494" s="187"/>
      <c r="P1494" s="187">
        <f>(O1493+O1492+O1491+O1490)/4</f>
        <v>99.243529096842181</v>
      </c>
      <c r="Q1494" s="187">
        <f>(I1494+P1494)/2</f>
        <v>99.621764548421083</v>
      </c>
      <c r="R1494" s="191" t="s">
        <v>361</v>
      </c>
      <c r="S1494" s="579"/>
      <c r="T1494" s="123"/>
      <c r="U1494" s="189"/>
    </row>
    <row r="1495" spans="1:21" s="111" customFormat="1" ht="63.75" customHeight="1" x14ac:dyDescent="0.35">
      <c r="A1495" s="576"/>
      <c r="B1495" s="600"/>
      <c r="C1495" s="500" t="s">
        <v>13</v>
      </c>
      <c r="D1495" s="112" t="s">
        <v>343</v>
      </c>
      <c r="E1495" s="505"/>
      <c r="F1495" s="505"/>
      <c r="G1495" s="505"/>
      <c r="H1495" s="506"/>
      <c r="I1495" s="506"/>
      <c r="J1495" s="120" t="s">
        <v>13</v>
      </c>
      <c r="K1495" s="135" t="str">
        <f>D1495</f>
        <v>Организация и проведение культурно-массовых мероприятий (творческих)</v>
      </c>
      <c r="L1495" s="505"/>
      <c r="M1495" s="505"/>
      <c r="N1495" s="505"/>
      <c r="O1495" s="506"/>
      <c r="P1495" s="506"/>
      <c r="Q1495" s="506"/>
      <c r="R1495" s="507"/>
      <c r="S1495" s="579"/>
      <c r="T1495" s="123"/>
    </row>
    <row r="1496" spans="1:21" s="111" customFormat="1" ht="40.5" customHeight="1" x14ac:dyDescent="0.35">
      <c r="A1496" s="576"/>
      <c r="B1496" s="600"/>
      <c r="C1496" s="505" t="s">
        <v>14</v>
      </c>
      <c r="D1496" s="508" t="s">
        <v>192</v>
      </c>
      <c r="E1496" s="505"/>
      <c r="F1496" s="505"/>
      <c r="G1496" s="505"/>
      <c r="H1496" s="509"/>
      <c r="I1496" s="505"/>
      <c r="J1496" s="505" t="s">
        <v>29</v>
      </c>
      <c r="K1496" s="508" t="s">
        <v>193</v>
      </c>
      <c r="L1496" s="505"/>
      <c r="M1496" s="505"/>
      <c r="N1496" s="505"/>
      <c r="O1496" s="509"/>
      <c r="P1496" s="505"/>
      <c r="Q1496" s="506"/>
      <c r="R1496" s="507"/>
      <c r="S1496" s="579"/>
      <c r="T1496" s="123"/>
      <c r="U1496" s="525" t="s">
        <v>616</v>
      </c>
    </row>
    <row r="1497" spans="1:21" s="111" customFormat="1" ht="54" customHeight="1" x14ac:dyDescent="0.35">
      <c r="A1497" s="576"/>
      <c r="B1497" s="600"/>
      <c r="C1497" s="505" t="s">
        <v>452</v>
      </c>
      <c r="D1497" s="508" t="s">
        <v>340</v>
      </c>
      <c r="E1497" s="505" t="s">
        <v>25</v>
      </c>
      <c r="F1497" s="505">
        <v>100</v>
      </c>
      <c r="G1497" s="505">
        <v>100</v>
      </c>
      <c r="H1497" s="509">
        <f>IF(G1497/F1497*100&gt;100,100,G1497/F1497*100)</f>
        <v>100</v>
      </c>
      <c r="I1497" s="505"/>
      <c r="J1497" s="505" t="s">
        <v>447</v>
      </c>
      <c r="K1497" s="508" t="s">
        <v>385</v>
      </c>
      <c r="L1497" s="505" t="s">
        <v>41</v>
      </c>
      <c r="M1497" s="505">
        <v>8</v>
      </c>
      <c r="N1497" s="505">
        <v>8</v>
      </c>
      <c r="O1497" s="509">
        <f>IF(N1497/M1497*100&gt;110,110,N1497/M1497*100)</f>
        <v>100</v>
      </c>
      <c r="P1497" s="505"/>
      <c r="Q1497" s="506"/>
      <c r="R1497" s="507"/>
      <c r="S1497" s="579"/>
      <c r="T1497" s="123"/>
      <c r="U1497" s="525"/>
    </row>
    <row r="1498" spans="1:21" s="111" customFormat="1" ht="84.75" customHeight="1" x14ac:dyDescent="0.35">
      <c r="A1498" s="576"/>
      <c r="B1498" s="600"/>
      <c r="C1498" s="505" t="s">
        <v>611</v>
      </c>
      <c r="D1498" s="508" t="s">
        <v>407</v>
      </c>
      <c r="E1498" s="505" t="s">
        <v>25</v>
      </c>
      <c r="F1498" s="505">
        <v>100</v>
      </c>
      <c r="G1498" s="505">
        <v>100</v>
      </c>
      <c r="H1498" s="509">
        <f>IF(G1498/F1498*100&gt;100,100,G1498/F1498*100)</f>
        <v>100</v>
      </c>
      <c r="I1498" s="505"/>
      <c r="J1498" s="505" t="s">
        <v>448</v>
      </c>
      <c r="K1498" s="508" t="s">
        <v>386</v>
      </c>
      <c r="L1498" s="505" t="s">
        <v>41</v>
      </c>
      <c r="M1498" s="505">
        <v>13</v>
      </c>
      <c r="N1498" s="505">
        <v>13</v>
      </c>
      <c r="O1498" s="509">
        <f>IF(N1498/M1498*100&gt;110,110,N1498/M1498*100)</f>
        <v>100</v>
      </c>
      <c r="P1498" s="505"/>
      <c r="Q1498" s="506"/>
      <c r="R1498" s="507"/>
      <c r="S1498" s="579"/>
      <c r="T1498" s="123"/>
      <c r="U1498" s="525"/>
    </row>
    <row r="1499" spans="1:21" s="111" customFormat="1" ht="40.5" customHeight="1" x14ac:dyDescent="0.35">
      <c r="A1499" s="576"/>
      <c r="B1499" s="600"/>
      <c r="C1499" s="505" t="s">
        <v>612</v>
      </c>
      <c r="D1499" s="508" t="s">
        <v>408</v>
      </c>
      <c r="E1499" s="505" t="s">
        <v>25</v>
      </c>
      <c r="F1499" s="505">
        <v>100</v>
      </c>
      <c r="G1499" s="505">
        <v>100</v>
      </c>
      <c r="H1499" s="509">
        <f>IF(G1499/F1499*100&gt;100,100,G1499/F1499*100)</f>
        <v>100</v>
      </c>
      <c r="I1499" s="505"/>
      <c r="J1499" s="505" t="s">
        <v>449</v>
      </c>
      <c r="K1499" s="508" t="s">
        <v>327</v>
      </c>
      <c r="L1499" s="505" t="s">
        <v>41</v>
      </c>
      <c r="M1499" s="505">
        <v>1</v>
      </c>
      <c r="N1499" s="505">
        <v>1</v>
      </c>
      <c r="O1499" s="509">
        <f>IF(N1499/M1499*100&gt;110,110,N1499/M1499*100)</f>
        <v>100</v>
      </c>
      <c r="P1499" s="505"/>
      <c r="Q1499" s="506"/>
      <c r="R1499" s="507"/>
      <c r="S1499" s="579"/>
      <c r="T1499" s="123"/>
      <c r="U1499" s="525"/>
    </row>
    <row r="1500" spans="1:21" s="111" customFormat="1" ht="40.5" customHeight="1" x14ac:dyDescent="0.35">
      <c r="A1500" s="576"/>
      <c r="B1500" s="600"/>
      <c r="C1500" s="505" t="s">
        <v>614</v>
      </c>
      <c r="D1500" s="508" t="s">
        <v>384</v>
      </c>
      <c r="E1500" s="505" t="s">
        <v>25</v>
      </c>
      <c r="F1500" s="505">
        <v>100</v>
      </c>
      <c r="G1500" s="505">
        <v>100</v>
      </c>
      <c r="H1500" s="509">
        <f>IF(G1500/F1500*100&gt;100,100,G1500/F1500*100)</f>
        <v>100</v>
      </c>
      <c r="I1500" s="505"/>
      <c r="J1500" s="505" t="s">
        <v>613</v>
      </c>
      <c r="K1500" s="508" t="s">
        <v>387</v>
      </c>
      <c r="L1500" s="505" t="s">
        <v>41</v>
      </c>
      <c r="M1500" s="505">
        <v>4</v>
      </c>
      <c r="N1500" s="505">
        <v>4</v>
      </c>
      <c r="O1500" s="509">
        <f>IF(N1500/M1500*100&gt;110,110,N1500/M1500*100)</f>
        <v>100</v>
      </c>
      <c r="P1500" s="505"/>
      <c r="Q1500" s="506"/>
      <c r="R1500" s="507"/>
      <c r="S1500" s="579"/>
      <c r="T1500" s="123"/>
      <c r="U1500" s="525"/>
    </row>
    <row r="1501" spans="1:21" s="124" customFormat="1" ht="42" customHeight="1" x14ac:dyDescent="0.35">
      <c r="A1501" s="576"/>
      <c r="B1501" s="600"/>
      <c r="C1501" s="182"/>
      <c r="D1501" s="183" t="s">
        <v>445</v>
      </c>
      <c r="E1501" s="184"/>
      <c r="F1501" s="185"/>
      <c r="G1501" s="186"/>
      <c r="H1501" s="187"/>
      <c r="I1501" s="187">
        <f>(H1497+H1498+H1499+H1500)/4</f>
        <v>100</v>
      </c>
      <c r="J1501" s="184"/>
      <c r="K1501" s="183" t="s">
        <v>445</v>
      </c>
      <c r="L1501" s="184"/>
      <c r="M1501" s="188"/>
      <c r="N1501" s="188"/>
      <c r="O1501" s="187"/>
      <c r="P1501" s="187">
        <f>(O1497+O1498+O1499+O1500)/4</f>
        <v>100</v>
      </c>
      <c r="Q1501" s="187">
        <f>(I1501+P1501)/2</f>
        <v>100</v>
      </c>
      <c r="R1501" s="191" t="s">
        <v>31</v>
      </c>
      <c r="S1501" s="579"/>
      <c r="T1501" s="123"/>
      <c r="U1501" s="189"/>
    </row>
    <row r="1502" spans="1:21" s="111" customFormat="1" ht="67.5" x14ac:dyDescent="0.35">
      <c r="A1502" s="576"/>
      <c r="B1502" s="600"/>
      <c r="C1502" s="500" t="s">
        <v>28</v>
      </c>
      <c r="D1502" s="112" t="s">
        <v>383</v>
      </c>
      <c r="E1502" s="505"/>
      <c r="F1502" s="505"/>
      <c r="G1502" s="505"/>
      <c r="H1502" s="506"/>
      <c r="I1502" s="506"/>
      <c r="J1502" s="120" t="str">
        <f>C1502</f>
        <v>III</v>
      </c>
      <c r="K1502" s="135" t="str">
        <f>D1502</f>
        <v>Реализация адаптированных дополнительных образовательных программ</v>
      </c>
      <c r="L1502" s="505"/>
      <c r="M1502" s="505"/>
      <c r="N1502" s="505"/>
      <c r="O1502" s="506"/>
      <c r="P1502" s="506"/>
      <c r="Q1502" s="506"/>
      <c r="R1502" s="507"/>
      <c r="S1502" s="579"/>
      <c r="T1502" s="123"/>
    </row>
    <row r="1503" spans="1:21" s="111" customFormat="1" ht="57" customHeight="1" x14ac:dyDescent="0.35">
      <c r="A1503" s="576"/>
      <c r="B1503" s="600"/>
      <c r="C1503" s="507" t="s">
        <v>29</v>
      </c>
      <c r="D1503" s="510" t="s">
        <v>382</v>
      </c>
      <c r="E1503" s="505" t="s">
        <v>25</v>
      </c>
      <c r="F1503" s="505">
        <v>90</v>
      </c>
      <c r="G1503" s="505">
        <v>100</v>
      </c>
      <c r="H1503" s="509">
        <f>IF(G1503/F1503*100&gt;100,100,G1503/F1503*100)</f>
        <v>100</v>
      </c>
      <c r="I1503" s="505"/>
      <c r="J1503" s="505" t="s">
        <v>29</v>
      </c>
      <c r="K1503" s="137" t="s">
        <v>478</v>
      </c>
      <c r="L1503" s="505" t="s">
        <v>189</v>
      </c>
      <c r="M1503" s="505">
        <v>432</v>
      </c>
      <c r="N1503" s="505">
        <v>432</v>
      </c>
      <c r="O1503" s="509">
        <f>IF(N1503/M1503*100&gt;110,110,N1503/M1503*100)</f>
        <v>100</v>
      </c>
      <c r="P1503" s="505"/>
      <c r="Q1503" s="506"/>
      <c r="R1503" s="507"/>
      <c r="S1503" s="579"/>
      <c r="T1503" s="123"/>
    </row>
    <row r="1504" spans="1:21" s="124" customFormat="1" ht="43.5" customHeight="1" x14ac:dyDescent="0.35">
      <c r="A1504" s="576"/>
      <c r="B1504" s="600"/>
      <c r="C1504" s="191"/>
      <c r="D1504" s="183" t="s">
        <v>445</v>
      </c>
      <c r="E1504" s="191"/>
      <c r="F1504" s="184"/>
      <c r="G1504" s="184"/>
      <c r="H1504" s="187"/>
      <c r="I1504" s="187">
        <f>H1503</f>
        <v>100</v>
      </c>
      <c r="J1504" s="182"/>
      <c r="K1504" s="183" t="s">
        <v>445</v>
      </c>
      <c r="L1504" s="184"/>
      <c r="M1504" s="188"/>
      <c r="N1504" s="188"/>
      <c r="O1504" s="187"/>
      <c r="P1504" s="187">
        <f>O1503</f>
        <v>100</v>
      </c>
      <c r="Q1504" s="187">
        <f>(I1504+P1504)/2</f>
        <v>100</v>
      </c>
      <c r="R1504" s="191" t="s">
        <v>31</v>
      </c>
      <c r="S1504" s="579"/>
      <c r="T1504" s="123"/>
    </row>
    <row r="1505" spans="1:21" s="111" customFormat="1" ht="90" customHeight="1" x14ac:dyDescent="0.35">
      <c r="A1505" s="576">
        <v>79</v>
      </c>
      <c r="B1505" s="600" t="s">
        <v>199</v>
      </c>
      <c r="C1505" s="500" t="s">
        <v>12</v>
      </c>
      <c r="D1505" s="112" t="s">
        <v>211</v>
      </c>
      <c r="E1505" s="120"/>
      <c r="F1505" s="120"/>
      <c r="G1505" s="120"/>
      <c r="H1505" s="506"/>
      <c r="I1505" s="506"/>
      <c r="J1505" s="120" t="s">
        <v>12</v>
      </c>
      <c r="K1505" s="135" t="s">
        <v>211</v>
      </c>
      <c r="L1505" s="505"/>
      <c r="M1505" s="505"/>
      <c r="N1505" s="505"/>
      <c r="O1505" s="506"/>
      <c r="P1505" s="506"/>
      <c r="Q1505" s="506"/>
      <c r="R1505" s="507"/>
      <c r="S1505" s="579" t="s">
        <v>279</v>
      </c>
      <c r="T1505" s="123"/>
    </row>
    <row r="1506" spans="1:21" s="111" customFormat="1" ht="72" customHeight="1" x14ac:dyDescent="0.35">
      <c r="A1506" s="576"/>
      <c r="B1506" s="600"/>
      <c r="C1506" s="507" t="s">
        <v>7</v>
      </c>
      <c r="D1506" s="510" t="s">
        <v>188</v>
      </c>
      <c r="E1506" s="505" t="s">
        <v>25</v>
      </c>
      <c r="F1506" s="505">
        <v>90</v>
      </c>
      <c r="G1506" s="505">
        <v>100</v>
      </c>
      <c r="H1506" s="509">
        <f>IF(G1506/F1506*100&gt;100,100,G1506/F1506*100)</f>
        <v>100</v>
      </c>
      <c r="I1506" s="505"/>
      <c r="J1506" s="505" t="s">
        <v>7</v>
      </c>
      <c r="K1506" s="137" t="s">
        <v>477</v>
      </c>
      <c r="L1506" s="505" t="s">
        <v>189</v>
      </c>
      <c r="M1506" s="505"/>
      <c r="N1506" s="505"/>
      <c r="O1506" s="509"/>
      <c r="P1506" s="136"/>
      <c r="Q1506" s="506"/>
      <c r="R1506" s="505"/>
      <c r="S1506" s="579"/>
      <c r="T1506" s="123"/>
    </row>
    <row r="1507" spans="1:21" s="111" customFormat="1" ht="61.5" customHeight="1" x14ac:dyDescent="0.35">
      <c r="A1507" s="576"/>
      <c r="B1507" s="600"/>
      <c r="C1507" s="507"/>
      <c r="D1507" s="510"/>
      <c r="E1507" s="505"/>
      <c r="F1507" s="522"/>
      <c r="G1507" s="522"/>
      <c r="H1507" s="509"/>
      <c r="I1507" s="505"/>
      <c r="J1507" s="505" t="s">
        <v>46</v>
      </c>
      <c r="K1507" s="137" t="s">
        <v>198</v>
      </c>
      <c r="L1507" s="505" t="s">
        <v>189</v>
      </c>
      <c r="M1507" s="505">
        <v>17162</v>
      </c>
      <c r="N1507" s="505">
        <v>17162</v>
      </c>
      <c r="O1507" s="509">
        <f>IF(N1507/M1507*100&gt;110,110,N1507/M1507*100)</f>
        <v>100</v>
      </c>
      <c r="P1507" s="136"/>
      <c r="Q1507" s="506"/>
      <c r="R1507" s="505"/>
      <c r="S1507" s="579"/>
      <c r="T1507" s="123"/>
    </row>
    <row r="1508" spans="1:21" s="111" customFormat="1" ht="55.5" customHeight="1" x14ac:dyDescent="0.35">
      <c r="A1508" s="576"/>
      <c r="B1508" s="600"/>
      <c r="C1508" s="507"/>
      <c r="D1508" s="510"/>
      <c r="E1508" s="505"/>
      <c r="F1508" s="505"/>
      <c r="G1508" s="505"/>
      <c r="H1508" s="509"/>
      <c r="I1508" s="505"/>
      <c r="J1508" s="505" t="s">
        <v>47</v>
      </c>
      <c r="K1508" s="137" t="s">
        <v>190</v>
      </c>
      <c r="L1508" s="505" t="s">
        <v>189</v>
      </c>
      <c r="M1508" s="505">
        <v>27390</v>
      </c>
      <c r="N1508" s="505">
        <v>27390</v>
      </c>
      <c r="O1508" s="509">
        <f>IF(N1508/M1508*100&gt;110,110,N1508/M1508*100)</f>
        <v>100</v>
      </c>
      <c r="P1508" s="136"/>
      <c r="Q1508" s="506"/>
      <c r="R1508" s="507"/>
      <c r="S1508" s="579"/>
      <c r="T1508" s="123"/>
    </row>
    <row r="1509" spans="1:21" s="111" customFormat="1" ht="81" customHeight="1" x14ac:dyDescent="0.35">
      <c r="A1509" s="576"/>
      <c r="B1509" s="600"/>
      <c r="C1509" s="507"/>
      <c r="D1509" s="510"/>
      <c r="E1509" s="505"/>
      <c r="F1509" s="505"/>
      <c r="G1509" s="505"/>
      <c r="H1509" s="509"/>
      <c r="I1509" s="505"/>
      <c r="J1509" s="505" t="s">
        <v>48</v>
      </c>
      <c r="K1509" s="137" t="s">
        <v>194</v>
      </c>
      <c r="L1509" s="505" t="s">
        <v>189</v>
      </c>
      <c r="M1509" s="505">
        <v>81971</v>
      </c>
      <c r="N1509" s="505">
        <v>81971</v>
      </c>
      <c r="O1509" s="509">
        <f>IF(N1509/M1509*100&gt;110,110,N1509/M1509*100)</f>
        <v>100</v>
      </c>
      <c r="P1509" s="136"/>
      <c r="Q1509" s="506"/>
      <c r="R1509" s="507"/>
      <c r="S1509" s="579"/>
      <c r="T1509" s="123"/>
    </row>
    <row r="1510" spans="1:21" s="124" customFormat="1" ht="42" customHeight="1" x14ac:dyDescent="0.35">
      <c r="A1510" s="576"/>
      <c r="B1510" s="600"/>
      <c r="C1510" s="182"/>
      <c r="D1510" s="183" t="s">
        <v>445</v>
      </c>
      <c r="E1510" s="184"/>
      <c r="F1510" s="185"/>
      <c r="G1510" s="186"/>
      <c r="H1510" s="187"/>
      <c r="I1510" s="187">
        <f>H1506</f>
        <v>100</v>
      </c>
      <c r="J1510" s="184"/>
      <c r="K1510" s="183" t="s">
        <v>445</v>
      </c>
      <c r="L1510" s="184"/>
      <c r="M1510" s="188"/>
      <c r="N1510" s="188"/>
      <c r="O1510" s="187"/>
      <c r="P1510" s="187">
        <f>(O1507+O1508+O1509)/3</f>
        <v>100</v>
      </c>
      <c r="Q1510" s="187">
        <f>(I1510+P1510)/2</f>
        <v>100</v>
      </c>
      <c r="R1510" s="191" t="s">
        <v>31</v>
      </c>
      <c r="S1510" s="579"/>
      <c r="T1510" s="123"/>
      <c r="U1510" s="189"/>
    </row>
    <row r="1511" spans="1:21" s="111" customFormat="1" ht="43.5" customHeight="1" x14ac:dyDescent="0.35">
      <c r="A1511" s="576"/>
      <c r="B1511" s="600"/>
      <c r="C1511" s="500" t="s">
        <v>13</v>
      </c>
      <c r="D1511" s="112" t="s">
        <v>276</v>
      </c>
      <c r="E1511" s="505"/>
      <c r="F1511" s="505"/>
      <c r="G1511" s="505"/>
      <c r="H1511" s="506"/>
      <c r="I1511" s="506"/>
      <c r="J1511" s="120" t="s">
        <v>13</v>
      </c>
      <c r="K1511" s="135" t="s">
        <v>276</v>
      </c>
      <c r="L1511" s="505"/>
      <c r="M1511" s="505"/>
      <c r="N1511" s="505"/>
      <c r="O1511" s="506"/>
      <c r="P1511" s="506"/>
      <c r="Q1511" s="506"/>
      <c r="R1511" s="114"/>
      <c r="S1511" s="579"/>
      <c r="T1511" s="123"/>
    </row>
    <row r="1512" spans="1:21" s="111" customFormat="1" ht="43.5" customHeight="1" x14ac:dyDescent="0.35">
      <c r="A1512" s="576"/>
      <c r="B1512" s="600"/>
      <c r="C1512" s="507" t="s">
        <v>14</v>
      </c>
      <c r="D1512" s="510" t="s">
        <v>192</v>
      </c>
      <c r="E1512" s="505"/>
      <c r="F1512" s="505"/>
      <c r="G1512" s="505"/>
      <c r="H1512" s="509"/>
      <c r="I1512" s="509"/>
      <c r="J1512" s="505" t="s">
        <v>14</v>
      </c>
      <c r="K1512" s="508" t="s">
        <v>193</v>
      </c>
      <c r="L1512" s="505"/>
      <c r="M1512" s="505"/>
      <c r="N1512" s="505"/>
      <c r="O1512" s="509"/>
      <c r="P1512" s="505"/>
      <c r="Q1512" s="506"/>
      <c r="R1512" s="507"/>
      <c r="S1512" s="579"/>
      <c r="T1512" s="123"/>
    </row>
    <row r="1513" spans="1:21" s="111" customFormat="1" ht="43.5" customHeight="1" x14ac:dyDescent="0.35">
      <c r="A1513" s="576"/>
      <c r="B1513" s="600"/>
      <c r="C1513" s="505" t="s">
        <v>452</v>
      </c>
      <c r="D1513" s="510" t="s">
        <v>340</v>
      </c>
      <c r="E1513" s="505" t="s">
        <v>25</v>
      </c>
      <c r="F1513" s="505">
        <v>100</v>
      </c>
      <c r="G1513" s="505">
        <v>100</v>
      </c>
      <c r="H1513" s="509">
        <f>IF(G1513/F1513*100&gt;100,100,G1513/F1513*100)</f>
        <v>100</v>
      </c>
      <c r="I1513" s="505"/>
      <c r="J1513" s="505" t="s">
        <v>452</v>
      </c>
      <c r="K1513" s="508" t="str">
        <f>D1513</f>
        <v>творческие (фестивали, выставки, конкурсы, смотры)</v>
      </c>
      <c r="L1513" s="505" t="s">
        <v>41</v>
      </c>
      <c r="M1513" s="505">
        <v>9</v>
      </c>
      <c r="N1513" s="505">
        <v>9</v>
      </c>
      <c r="O1513" s="509">
        <f>IF(N1513/M1513*100&gt;110,110,N1513/M1513*100)</f>
        <v>100</v>
      </c>
      <c r="P1513" s="505"/>
      <c r="Q1513" s="506"/>
      <c r="R1513" s="507"/>
      <c r="S1513" s="579"/>
      <c r="T1513" s="123"/>
      <c r="U1513" s="520" t="s">
        <v>616</v>
      </c>
    </row>
    <row r="1514" spans="1:21" s="111" customFormat="1" ht="43.5" customHeight="1" x14ac:dyDescent="0.35">
      <c r="A1514" s="576"/>
      <c r="B1514" s="600"/>
      <c r="C1514" s="505" t="s">
        <v>611</v>
      </c>
      <c r="D1514" s="510" t="s">
        <v>450</v>
      </c>
      <c r="E1514" s="505" t="s">
        <v>25</v>
      </c>
      <c r="F1514" s="505">
        <v>100</v>
      </c>
      <c r="G1514" s="505">
        <v>100</v>
      </c>
      <c r="H1514" s="509">
        <f>IF(G1514/F1514*100&gt;100,100,G1514/F1514*100)</f>
        <v>100</v>
      </c>
      <c r="I1514" s="505"/>
      <c r="J1514" s="505" t="s">
        <v>611</v>
      </c>
      <c r="K1514" s="508" t="str">
        <f>D1514</f>
        <v>культурно-массовые (зрелищные, культурно-массовые)</v>
      </c>
      <c r="L1514" s="505" t="s">
        <v>41</v>
      </c>
      <c r="M1514" s="505">
        <v>11</v>
      </c>
      <c r="N1514" s="505">
        <v>11</v>
      </c>
      <c r="O1514" s="509">
        <f>IF(N1514/M1514*100&gt;110,110,N1514/M1514*100)</f>
        <v>100</v>
      </c>
      <c r="P1514" s="505"/>
      <c r="Q1514" s="506"/>
      <c r="R1514" s="507"/>
      <c r="S1514" s="579"/>
      <c r="T1514" s="123"/>
    </row>
    <row r="1515" spans="1:21" s="111" customFormat="1" ht="43.5" customHeight="1" x14ac:dyDescent="0.35">
      <c r="A1515" s="576"/>
      <c r="B1515" s="600"/>
      <c r="C1515" s="505" t="s">
        <v>612</v>
      </c>
      <c r="D1515" s="510" t="s">
        <v>327</v>
      </c>
      <c r="E1515" s="505" t="s">
        <v>25</v>
      </c>
      <c r="F1515" s="505">
        <v>100</v>
      </c>
      <c r="G1515" s="505">
        <v>100</v>
      </c>
      <c r="H1515" s="509">
        <f>IF(G1515/F1515*100&gt;100,100,G1515/F1515*100)</f>
        <v>100</v>
      </c>
      <c r="I1515" s="505"/>
      <c r="J1515" s="505" t="s">
        <v>612</v>
      </c>
      <c r="K1515" s="508" t="str">
        <f>D1515</f>
        <v>мастер-классы</v>
      </c>
      <c r="L1515" s="505" t="s">
        <v>41</v>
      </c>
      <c r="M1515" s="505">
        <v>1</v>
      </c>
      <c r="N1515" s="505">
        <v>1</v>
      </c>
      <c r="O1515" s="509">
        <f>IF(N1515/M1515*100&gt;110,110,N1515/M1515*100)</f>
        <v>100</v>
      </c>
      <c r="P1515" s="505"/>
      <c r="Q1515" s="506"/>
      <c r="R1515" s="507"/>
      <c r="S1515" s="579"/>
      <c r="T1515" s="123"/>
    </row>
    <row r="1516" spans="1:21" s="111" customFormat="1" ht="43.5" customHeight="1" x14ac:dyDescent="0.35">
      <c r="A1516" s="576"/>
      <c r="B1516" s="600"/>
      <c r="C1516" s="505" t="s">
        <v>614</v>
      </c>
      <c r="D1516" s="510" t="s">
        <v>342</v>
      </c>
      <c r="E1516" s="505" t="s">
        <v>25</v>
      </c>
      <c r="F1516" s="505">
        <v>100</v>
      </c>
      <c r="G1516" s="505">
        <v>100</v>
      </c>
      <c r="H1516" s="509">
        <f>IF(G1516/F1516*100&gt;100,100,G1516/F1516*100)</f>
        <v>100</v>
      </c>
      <c r="I1516" s="505"/>
      <c r="J1516" s="505" t="s">
        <v>614</v>
      </c>
      <c r="K1516" s="508" t="str">
        <f>D1516</f>
        <v>методические (семинар, конференция)</v>
      </c>
      <c r="L1516" s="505" t="s">
        <v>41</v>
      </c>
      <c r="M1516" s="505">
        <v>7</v>
      </c>
      <c r="N1516" s="505">
        <v>7</v>
      </c>
      <c r="O1516" s="509">
        <f>IF(N1516/M1516*100&gt;110,110,N1516/M1516*100)</f>
        <v>100</v>
      </c>
      <c r="P1516" s="505"/>
      <c r="Q1516" s="506"/>
      <c r="R1516" s="507"/>
      <c r="S1516" s="579"/>
      <c r="T1516" s="123"/>
    </row>
    <row r="1517" spans="1:21" s="124" customFormat="1" ht="42" customHeight="1" x14ac:dyDescent="0.35">
      <c r="A1517" s="576"/>
      <c r="B1517" s="600"/>
      <c r="C1517" s="182"/>
      <c r="D1517" s="183" t="s">
        <v>445</v>
      </c>
      <c r="E1517" s="184"/>
      <c r="F1517" s="185"/>
      <c r="G1517" s="186"/>
      <c r="H1517" s="187"/>
      <c r="I1517" s="187">
        <f>(H1513+H1514+H1515+H1516)/4</f>
        <v>100</v>
      </c>
      <c r="J1517" s="184"/>
      <c r="K1517" s="183" t="s">
        <v>445</v>
      </c>
      <c r="L1517" s="184"/>
      <c r="M1517" s="188"/>
      <c r="N1517" s="188"/>
      <c r="O1517" s="187"/>
      <c r="P1517" s="187">
        <f>(O1513+O1514+O1515+O1516)/4</f>
        <v>100</v>
      </c>
      <c r="Q1517" s="187">
        <f>(I1517+P1517)/2</f>
        <v>100</v>
      </c>
      <c r="R1517" s="191" t="s">
        <v>31</v>
      </c>
      <c r="S1517" s="579"/>
      <c r="T1517" s="123"/>
      <c r="U1517" s="189"/>
    </row>
    <row r="1518" spans="1:21" s="111" customFormat="1" ht="67.5" x14ac:dyDescent="0.35">
      <c r="A1518" s="576"/>
      <c r="B1518" s="600"/>
      <c r="C1518" s="500" t="s">
        <v>28</v>
      </c>
      <c r="D1518" s="112" t="s">
        <v>383</v>
      </c>
      <c r="E1518" s="505"/>
      <c r="F1518" s="505"/>
      <c r="G1518" s="505"/>
      <c r="H1518" s="506"/>
      <c r="I1518" s="506"/>
      <c r="J1518" s="120" t="str">
        <f>C1518</f>
        <v>III</v>
      </c>
      <c r="K1518" s="135" t="str">
        <f>D1518</f>
        <v>Реализация адаптированных дополнительных образовательных программ</v>
      </c>
      <c r="L1518" s="505"/>
      <c r="M1518" s="505"/>
      <c r="N1518" s="505"/>
      <c r="O1518" s="506"/>
      <c r="P1518" s="506"/>
      <c r="Q1518" s="506"/>
      <c r="R1518" s="507"/>
      <c r="S1518" s="579"/>
      <c r="T1518" s="123"/>
    </row>
    <row r="1519" spans="1:21" s="111" customFormat="1" ht="57" customHeight="1" x14ac:dyDescent="0.35">
      <c r="A1519" s="576"/>
      <c r="B1519" s="600"/>
      <c r="C1519" s="507" t="s">
        <v>29</v>
      </c>
      <c r="D1519" s="510" t="s">
        <v>382</v>
      </c>
      <c r="E1519" s="505" t="s">
        <v>25</v>
      </c>
      <c r="F1519" s="505">
        <v>90</v>
      </c>
      <c r="G1519" s="505">
        <v>100</v>
      </c>
      <c r="H1519" s="509">
        <f>IF(G1519/F1519*100&gt;100,100,G1519/F1519*100)</f>
        <v>100</v>
      </c>
      <c r="I1519" s="505"/>
      <c r="J1519" s="505" t="s">
        <v>29</v>
      </c>
      <c r="K1519" s="137" t="s">
        <v>477</v>
      </c>
      <c r="L1519" s="505" t="s">
        <v>189</v>
      </c>
      <c r="M1519" s="505"/>
      <c r="N1519" s="505"/>
      <c r="O1519" s="509"/>
      <c r="P1519" s="505"/>
      <c r="Q1519" s="506"/>
      <c r="R1519" s="507"/>
      <c r="S1519" s="579"/>
      <c r="T1519" s="123"/>
    </row>
    <row r="1520" spans="1:21" s="111" customFormat="1" ht="57" customHeight="1" x14ac:dyDescent="0.35">
      <c r="A1520" s="576"/>
      <c r="B1520" s="600"/>
      <c r="C1520" s="507"/>
      <c r="D1520" s="510"/>
      <c r="E1520" s="505"/>
      <c r="F1520" s="505"/>
      <c r="G1520" s="505"/>
      <c r="H1520" s="509"/>
      <c r="I1520" s="505"/>
      <c r="J1520" s="505" t="s">
        <v>447</v>
      </c>
      <c r="K1520" s="137" t="s">
        <v>198</v>
      </c>
      <c r="L1520" s="505" t="s">
        <v>189</v>
      </c>
      <c r="M1520" s="505">
        <v>145</v>
      </c>
      <c r="N1520" s="505">
        <v>145</v>
      </c>
      <c r="O1520" s="115">
        <f>IF(N1520/M1520*100&gt;110,110,N1520/M1520*100)</f>
        <v>100</v>
      </c>
      <c r="P1520" s="505"/>
      <c r="Q1520" s="506"/>
      <c r="R1520" s="507"/>
      <c r="S1520" s="579"/>
      <c r="T1520" s="123"/>
    </row>
    <row r="1521" spans="1:21" s="111" customFormat="1" ht="57" customHeight="1" x14ac:dyDescent="0.35">
      <c r="A1521" s="576"/>
      <c r="B1521" s="600"/>
      <c r="C1521" s="507"/>
      <c r="D1521" s="510"/>
      <c r="E1521" s="505"/>
      <c r="F1521" s="505"/>
      <c r="G1521" s="505"/>
      <c r="H1521" s="509"/>
      <c r="I1521" s="505"/>
      <c r="J1521" s="505" t="s">
        <v>448</v>
      </c>
      <c r="K1521" s="137" t="s">
        <v>194</v>
      </c>
      <c r="L1521" s="505" t="s">
        <v>189</v>
      </c>
      <c r="M1521" s="505">
        <v>642</v>
      </c>
      <c r="N1521" s="505">
        <v>642</v>
      </c>
      <c r="O1521" s="115">
        <f>IF(N1521/M1521*100&gt;110,110,N1521/M1521*100)</f>
        <v>100</v>
      </c>
      <c r="P1521" s="505"/>
      <c r="Q1521" s="506"/>
      <c r="R1521" s="507"/>
      <c r="S1521" s="579"/>
      <c r="T1521" s="123"/>
    </row>
    <row r="1522" spans="1:21" s="111" customFormat="1" ht="57" customHeight="1" x14ac:dyDescent="0.35">
      <c r="A1522" s="576"/>
      <c r="B1522" s="600"/>
      <c r="C1522" s="507"/>
      <c r="D1522" s="503"/>
      <c r="E1522" s="505"/>
      <c r="F1522" s="505"/>
      <c r="G1522" s="505"/>
      <c r="H1522" s="509"/>
      <c r="I1522" s="505"/>
      <c r="J1522" s="505" t="s">
        <v>449</v>
      </c>
      <c r="K1522" s="137" t="s">
        <v>190</v>
      </c>
      <c r="L1522" s="505" t="s">
        <v>189</v>
      </c>
      <c r="M1522" s="505">
        <v>167</v>
      </c>
      <c r="N1522" s="505">
        <v>167</v>
      </c>
      <c r="O1522" s="115">
        <f>IF(N1522/M1522*100&gt;110,110,N1522/M1522*100)</f>
        <v>100</v>
      </c>
      <c r="P1522" s="505"/>
      <c r="Q1522" s="506"/>
      <c r="R1522" s="507"/>
      <c r="S1522" s="579"/>
      <c r="T1522" s="123"/>
    </row>
    <row r="1523" spans="1:21" s="124" customFormat="1" ht="43.5" customHeight="1" x14ac:dyDescent="0.35">
      <c r="A1523" s="576"/>
      <c r="B1523" s="600"/>
      <c r="C1523" s="191"/>
      <c r="D1523" s="183" t="s">
        <v>445</v>
      </c>
      <c r="E1523" s="191"/>
      <c r="F1523" s="184"/>
      <c r="G1523" s="184"/>
      <c r="H1523" s="187"/>
      <c r="I1523" s="187">
        <f>H1519</f>
        <v>100</v>
      </c>
      <c r="J1523" s="182"/>
      <c r="K1523" s="183" t="s">
        <v>445</v>
      </c>
      <c r="L1523" s="184"/>
      <c r="M1523" s="188"/>
      <c r="N1523" s="188"/>
      <c r="O1523" s="187"/>
      <c r="P1523" s="187">
        <f>(O1520+O1521+O1522)/3</f>
        <v>100</v>
      </c>
      <c r="Q1523" s="187">
        <f>(I1523+P1523)/2</f>
        <v>100</v>
      </c>
      <c r="R1523" s="191" t="s">
        <v>31</v>
      </c>
      <c r="S1523" s="579"/>
      <c r="T1523" s="123"/>
    </row>
    <row r="1524" spans="1:21" s="111" customFormat="1" ht="87" customHeight="1" x14ac:dyDescent="0.35">
      <c r="A1524" s="576">
        <v>80</v>
      </c>
      <c r="B1524" s="600" t="s">
        <v>479</v>
      </c>
      <c r="C1524" s="500" t="s">
        <v>12</v>
      </c>
      <c r="D1524" s="112" t="s">
        <v>211</v>
      </c>
      <c r="E1524" s="120"/>
      <c r="F1524" s="120"/>
      <c r="G1524" s="120"/>
      <c r="H1524" s="506"/>
      <c r="I1524" s="506"/>
      <c r="J1524" s="120" t="s">
        <v>12</v>
      </c>
      <c r="K1524" s="135" t="s">
        <v>211</v>
      </c>
      <c r="L1524" s="505"/>
      <c r="M1524" s="505"/>
      <c r="N1524" s="505"/>
      <c r="O1524" s="506"/>
      <c r="P1524" s="506"/>
      <c r="Q1524" s="506"/>
      <c r="R1524" s="507"/>
      <c r="S1524" s="579" t="s">
        <v>280</v>
      </c>
      <c r="T1524" s="110"/>
    </row>
    <row r="1525" spans="1:21" s="111" customFormat="1" ht="76.5" customHeight="1" x14ac:dyDescent="0.35">
      <c r="A1525" s="576"/>
      <c r="B1525" s="600"/>
      <c r="C1525" s="507" t="s">
        <v>7</v>
      </c>
      <c r="D1525" s="510" t="s">
        <v>188</v>
      </c>
      <c r="E1525" s="505" t="s">
        <v>25</v>
      </c>
      <c r="F1525" s="505">
        <v>100</v>
      </c>
      <c r="G1525" s="505">
        <v>100</v>
      </c>
      <c r="H1525" s="509">
        <f>IF(G1525/F1525*100&gt;100,100,G1525/F1525*100)</f>
        <v>100</v>
      </c>
      <c r="I1525" s="505"/>
      <c r="J1525" s="505" t="s">
        <v>7</v>
      </c>
      <c r="K1525" s="137" t="s">
        <v>477</v>
      </c>
      <c r="L1525" s="505" t="s">
        <v>189</v>
      </c>
      <c r="M1525" s="505"/>
      <c r="N1525" s="505"/>
      <c r="O1525" s="509"/>
      <c r="P1525" s="136"/>
      <c r="Q1525" s="506"/>
      <c r="R1525" s="505"/>
      <c r="S1525" s="579"/>
      <c r="T1525" s="110"/>
    </row>
    <row r="1526" spans="1:21" s="111" customFormat="1" ht="74.25" customHeight="1" x14ac:dyDescent="0.35">
      <c r="A1526" s="576"/>
      <c r="B1526" s="600"/>
      <c r="C1526" s="507"/>
      <c r="D1526" s="510"/>
      <c r="E1526" s="505"/>
      <c r="F1526" s="522"/>
      <c r="G1526" s="522"/>
      <c r="H1526" s="509"/>
      <c r="I1526" s="505"/>
      <c r="J1526" s="505" t="s">
        <v>46</v>
      </c>
      <c r="K1526" s="137" t="s">
        <v>451</v>
      </c>
      <c r="L1526" s="505" t="s">
        <v>189</v>
      </c>
      <c r="M1526" s="505">
        <v>129000</v>
      </c>
      <c r="N1526" s="505">
        <v>125233</v>
      </c>
      <c r="O1526" s="509">
        <f>IF(N1526/M1526*100&gt;110,110,N1526/M1526*100)</f>
        <v>97.079844961240312</v>
      </c>
      <c r="P1526" s="136"/>
      <c r="Q1526" s="506"/>
      <c r="R1526" s="505"/>
      <c r="S1526" s="579"/>
      <c r="T1526" s="110"/>
    </row>
    <row r="1527" spans="1:21" s="124" customFormat="1" ht="59.25" customHeight="1" x14ac:dyDescent="0.35">
      <c r="A1527" s="576"/>
      <c r="B1527" s="600"/>
      <c r="C1527" s="191"/>
      <c r="D1527" s="183" t="s">
        <v>445</v>
      </c>
      <c r="E1527" s="191"/>
      <c r="F1527" s="184"/>
      <c r="G1527" s="184"/>
      <c r="H1527" s="187"/>
      <c r="I1527" s="187">
        <f>H1525</f>
        <v>100</v>
      </c>
      <c r="J1527" s="182"/>
      <c r="K1527" s="183" t="s">
        <v>445</v>
      </c>
      <c r="L1527" s="184"/>
      <c r="M1527" s="188"/>
      <c r="N1527" s="188"/>
      <c r="O1527" s="187"/>
      <c r="P1527" s="187">
        <f>O1526</f>
        <v>97.079844961240312</v>
      </c>
      <c r="Q1527" s="187">
        <f>(I1527+P1527)/2</f>
        <v>98.539922480620163</v>
      </c>
      <c r="R1527" s="191" t="s">
        <v>361</v>
      </c>
      <c r="S1527" s="579"/>
      <c r="T1527" s="110"/>
    </row>
    <row r="1528" spans="1:21" s="111" customFormat="1" ht="72" customHeight="1" x14ac:dyDescent="0.35">
      <c r="A1528" s="576"/>
      <c r="B1528" s="600"/>
      <c r="C1528" s="500" t="s">
        <v>388</v>
      </c>
      <c r="D1528" s="112" t="s">
        <v>383</v>
      </c>
      <c r="E1528" s="505"/>
      <c r="F1528" s="505"/>
      <c r="G1528" s="505"/>
      <c r="H1528" s="506"/>
      <c r="I1528" s="506"/>
      <c r="J1528" s="120" t="str">
        <f>C1528</f>
        <v xml:space="preserve">II </v>
      </c>
      <c r="K1528" s="135" t="str">
        <f>D1528</f>
        <v>Реализация адаптированных дополнительных образовательных программ</v>
      </c>
      <c r="L1528" s="505"/>
      <c r="M1528" s="505"/>
      <c r="N1528" s="505"/>
      <c r="O1528" s="506"/>
      <c r="P1528" s="136"/>
      <c r="Q1528" s="506"/>
      <c r="R1528" s="507"/>
      <c r="S1528" s="579"/>
      <c r="T1528" s="110"/>
    </row>
    <row r="1529" spans="1:21" s="111" customFormat="1" ht="72" customHeight="1" x14ac:dyDescent="0.35">
      <c r="A1529" s="576"/>
      <c r="B1529" s="600"/>
      <c r="C1529" s="507" t="s">
        <v>14</v>
      </c>
      <c r="D1529" s="503" t="s">
        <v>382</v>
      </c>
      <c r="E1529" s="505" t="s">
        <v>25</v>
      </c>
      <c r="F1529" s="505">
        <v>90</v>
      </c>
      <c r="G1529" s="505">
        <v>100</v>
      </c>
      <c r="H1529" s="509">
        <f>IF(G1529/F1529*100&gt;100,100,G1529/F1529*100)</f>
        <v>100</v>
      </c>
      <c r="I1529" s="505"/>
      <c r="J1529" s="505" t="s">
        <v>14</v>
      </c>
      <c r="K1529" s="137" t="s">
        <v>477</v>
      </c>
      <c r="L1529" s="505" t="s">
        <v>189</v>
      </c>
      <c r="M1529" s="505"/>
      <c r="N1529" s="505"/>
      <c r="O1529" s="509"/>
      <c r="P1529" s="136"/>
      <c r="Q1529" s="506"/>
      <c r="R1529" s="507"/>
      <c r="S1529" s="579"/>
      <c r="T1529" s="110"/>
    </row>
    <row r="1530" spans="1:21" s="111" customFormat="1" ht="72" customHeight="1" x14ac:dyDescent="0.35">
      <c r="A1530" s="576"/>
      <c r="B1530" s="600"/>
      <c r="C1530" s="507"/>
      <c r="D1530" s="503"/>
      <c r="E1530" s="505"/>
      <c r="F1530" s="505"/>
      <c r="G1530" s="505"/>
      <c r="H1530" s="509"/>
      <c r="I1530" s="505"/>
      <c r="J1530" s="505" t="s">
        <v>452</v>
      </c>
      <c r="K1530" s="137" t="s">
        <v>451</v>
      </c>
      <c r="L1530" s="505" t="s">
        <v>189</v>
      </c>
      <c r="M1530" s="505">
        <v>2040</v>
      </c>
      <c r="N1530" s="505">
        <v>2040</v>
      </c>
      <c r="O1530" s="509">
        <f>IF(N1530/M1530*100&gt;110,110,N1530/M1530*100)</f>
        <v>100</v>
      </c>
      <c r="P1530" s="136"/>
      <c r="Q1530" s="506"/>
      <c r="R1530" s="507"/>
      <c r="S1530" s="579"/>
      <c r="T1530" s="110"/>
    </row>
    <row r="1531" spans="1:21" s="124" customFormat="1" ht="43.5" customHeight="1" x14ac:dyDescent="0.35">
      <c r="A1531" s="576"/>
      <c r="B1531" s="600"/>
      <c r="C1531" s="191"/>
      <c r="D1531" s="183" t="s">
        <v>445</v>
      </c>
      <c r="E1531" s="191"/>
      <c r="F1531" s="184"/>
      <c r="G1531" s="184"/>
      <c r="H1531" s="187"/>
      <c r="I1531" s="187">
        <f>H1529</f>
        <v>100</v>
      </c>
      <c r="J1531" s="182"/>
      <c r="K1531" s="183" t="s">
        <v>445</v>
      </c>
      <c r="L1531" s="184"/>
      <c r="M1531" s="188"/>
      <c r="N1531" s="188"/>
      <c r="O1531" s="187"/>
      <c r="P1531" s="187">
        <f>O1530</f>
        <v>100</v>
      </c>
      <c r="Q1531" s="187">
        <f>(I1531+P1531)/2</f>
        <v>100</v>
      </c>
      <c r="R1531" s="191" t="s">
        <v>31</v>
      </c>
      <c r="S1531" s="579"/>
      <c r="T1531" s="110"/>
    </row>
    <row r="1532" spans="1:21" s="111" customFormat="1" ht="85.5" customHeight="1" x14ac:dyDescent="0.35">
      <c r="A1532" s="576"/>
      <c r="B1532" s="600"/>
      <c r="C1532" s="500" t="s">
        <v>28</v>
      </c>
      <c r="D1532" s="112" t="s">
        <v>276</v>
      </c>
      <c r="E1532" s="505"/>
      <c r="F1532" s="505"/>
      <c r="G1532" s="505"/>
      <c r="H1532" s="506"/>
      <c r="I1532" s="506"/>
      <c r="J1532" s="120" t="s">
        <v>28</v>
      </c>
      <c r="K1532" s="135" t="s">
        <v>276</v>
      </c>
      <c r="L1532" s="505"/>
      <c r="M1532" s="505"/>
      <c r="N1532" s="505"/>
      <c r="O1532" s="506"/>
      <c r="P1532" s="506"/>
      <c r="Q1532" s="506"/>
      <c r="R1532" s="114"/>
      <c r="S1532" s="579"/>
      <c r="T1532" s="110"/>
    </row>
    <row r="1533" spans="1:21" s="111" customFormat="1" ht="48" customHeight="1" x14ac:dyDescent="0.35">
      <c r="A1533" s="576"/>
      <c r="B1533" s="600"/>
      <c r="C1533" s="507" t="s">
        <v>29</v>
      </c>
      <c r="D1533" s="510" t="s">
        <v>192</v>
      </c>
      <c r="E1533" s="505"/>
      <c r="F1533" s="505"/>
      <c r="G1533" s="505"/>
      <c r="H1533" s="509"/>
      <c r="I1533" s="505"/>
      <c r="J1533" s="505" t="s">
        <v>29</v>
      </c>
      <c r="K1533" s="508" t="s">
        <v>193</v>
      </c>
      <c r="L1533" s="505"/>
      <c r="M1533" s="505"/>
      <c r="N1533" s="505"/>
      <c r="O1533" s="509"/>
      <c r="P1533" s="505"/>
      <c r="Q1533" s="506"/>
      <c r="R1533" s="507"/>
      <c r="S1533" s="579"/>
      <c r="T1533" s="110"/>
    </row>
    <row r="1534" spans="1:21" s="111" customFormat="1" ht="48" customHeight="1" x14ac:dyDescent="0.35">
      <c r="A1534" s="576"/>
      <c r="B1534" s="600"/>
      <c r="C1534" s="505" t="s">
        <v>447</v>
      </c>
      <c r="D1534" s="510" t="s">
        <v>340</v>
      </c>
      <c r="E1534" s="505" t="s">
        <v>25</v>
      </c>
      <c r="F1534" s="505">
        <v>100</v>
      </c>
      <c r="G1534" s="505">
        <v>100</v>
      </c>
      <c r="H1534" s="509">
        <f>IF(G1534/F1534*100&gt;100,100,G1534/F1534*100)</f>
        <v>100</v>
      </c>
      <c r="I1534" s="505"/>
      <c r="J1534" s="505" t="s">
        <v>447</v>
      </c>
      <c r="K1534" s="508" t="s">
        <v>274</v>
      </c>
      <c r="L1534" s="505" t="s">
        <v>41</v>
      </c>
      <c r="M1534" s="505">
        <v>9</v>
      </c>
      <c r="N1534" s="505">
        <v>9</v>
      </c>
      <c r="O1534" s="509">
        <f>IF(N1534/M1534*100&gt;110,110,N1534/M1534*100)</f>
        <v>100</v>
      </c>
      <c r="P1534" s="505"/>
      <c r="Q1534" s="506"/>
      <c r="R1534" s="507"/>
      <c r="S1534" s="579"/>
      <c r="T1534" s="110"/>
      <c r="U1534" s="520" t="s">
        <v>616</v>
      </c>
    </row>
    <row r="1535" spans="1:21" s="111" customFormat="1" ht="48" customHeight="1" x14ac:dyDescent="0.35">
      <c r="A1535" s="576"/>
      <c r="B1535" s="600"/>
      <c r="C1535" s="505" t="s">
        <v>448</v>
      </c>
      <c r="D1535" s="510" t="s">
        <v>341</v>
      </c>
      <c r="E1535" s="505" t="s">
        <v>25</v>
      </c>
      <c r="F1535" s="505">
        <v>100</v>
      </c>
      <c r="G1535" s="505">
        <v>100</v>
      </c>
      <c r="H1535" s="509">
        <f>IF(G1535/F1535*100&gt;100,100,G1535/F1535*100)</f>
        <v>100</v>
      </c>
      <c r="I1535" s="505"/>
      <c r="J1535" s="505" t="s">
        <v>448</v>
      </c>
      <c r="K1535" s="508" t="s">
        <v>275</v>
      </c>
      <c r="L1535" s="505" t="s">
        <v>41</v>
      </c>
      <c r="M1535" s="505">
        <v>4</v>
      </c>
      <c r="N1535" s="505">
        <v>4</v>
      </c>
      <c r="O1535" s="509">
        <f>IF(N1535/M1535*100&gt;110,110,N1535/M1535*100)</f>
        <v>100</v>
      </c>
      <c r="P1535" s="505"/>
      <c r="Q1535" s="506"/>
      <c r="R1535" s="507"/>
      <c r="S1535" s="579"/>
      <c r="T1535" s="110"/>
      <c r="U1535" s="520"/>
    </row>
    <row r="1536" spans="1:21" s="111" customFormat="1" ht="48" customHeight="1" x14ac:dyDescent="0.35">
      <c r="A1536" s="576"/>
      <c r="B1536" s="600"/>
      <c r="C1536" s="505" t="s">
        <v>449</v>
      </c>
      <c r="D1536" s="116" t="s">
        <v>327</v>
      </c>
      <c r="E1536" s="114" t="s">
        <v>25</v>
      </c>
      <c r="F1536" s="114" t="s">
        <v>555</v>
      </c>
      <c r="G1536" s="114" t="s">
        <v>555</v>
      </c>
      <c r="H1536" s="114" t="s">
        <v>555</v>
      </c>
      <c r="I1536" s="114"/>
      <c r="J1536" s="505" t="s">
        <v>449</v>
      </c>
      <c r="K1536" s="116" t="s">
        <v>327</v>
      </c>
      <c r="L1536" s="114"/>
      <c r="M1536" s="114" t="s">
        <v>555</v>
      </c>
      <c r="N1536" s="114" t="s">
        <v>555</v>
      </c>
      <c r="O1536" s="114" t="s">
        <v>555</v>
      </c>
      <c r="P1536" s="505"/>
      <c r="Q1536" s="506"/>
      <c r="R1536" s="507"/>
      <c r="S1536" s="579"/>
      <c r="T1536" s="110"/>
      <c r="U1536" s="520"/>
    </row>
    <row r="1537" spans="1:21" s="111" customFormat="1" ht="48" customHeight="1" x14ac:dyDescent="0.35">
      <c r="A1537" s="576"/>
      <c r="B1537" s="600"/>
      <c r="C1537" s="505" t="s">
        <v>613</v>
      </c>
      <c r="D1537" s="116" t="s">
        <v>342</v>
      </c>
      <c r="E1537" s="114" t="s">
        <v>25</v>
      </c>
      <c r="F1537" s="114" t="s">
        <v>555</v>
      </c>
      <c r="G1537" s="114" t="s">
        <v>555</v>
      </c>
      <c r="H1537" s="114" t="s">
        <v>555</v>
      </c>
      <c r="I1537" s="114"/>
      <c r="J1537" s="505" t="s">
        <v>613</v>
      </c>
      <c r="K1537" s="116" t="s">
        <v>342</v>
      </c>
      <c r="L1537" s="114"/>
      <c r="M1537" s="114" t="s">
        <v>555</v>
      </c>
      <c r="N1537" s="114" t="s">
        <v>555</v>
      </c>
      <c r="O1537" s="114" t="s">
        <v>555</v>
      </c>
      <c r="P1537" s="505"/>
      <c r="Q1537" s="506"/>
      <c r="R1537" s="507"/>
      <c r="S1537" s="579"/>
      <c r="T1537" s="110"/>
      <c r="U1537" s="520"/>
    </row>
    <row r="1538" spans="1:21" s="124" customFormat="1" ht="47.25" customHeight="1" x14ac:dyDescent="0.35">
      <c r="A1538" s="576"/>
      <c r="B1538" s="600"/>
      <c r="C1538" s="191"/>
      <c r="D1538" s="183" t="s">
        <v>445</v>
      </c>
      <c r="E1538" s="191"/>
      <c r="F1538" s="184"/>
      <c r="G1538" s="184"/>
      <c r="H1538" s="187"/>
      <c r="I1538" s="187">
        <f>(H1534+H1535)/2</f>
        <v>100</v>
      </c>
      <c r="J1538" s="182"/>
      <c r="K1538" s="183" t="s">
        <v>445</v>
      </c>
      <c r="L1538" s="184"/>
      <c r="M1538" s="188"/>
      <c r="N1538" s="188"/>
      <c r="O1538" s="187"/>
      <c r="P1538" s="187">
        <f>(O1534+O1535)/2</f>
        <v>100</v>
      </c>
      <c r="Q1538" s="187">
        <f>(I1538+P1538)/2</f>
        <v>100</v>
      </c>
      <c r="R1538" s="191" t="s">
        <v>31</v>
      </c>
      <c r="S1538" s="579"/>
      <c r="T1538" s="110"/>
    </row>
    <row r="1539" spans="1:21" s="212" customFormat="1" ht="52.5" customHeight="1" x14ac:dyDescent="0.35">
      <c r="A1539" s="576">
        <v>81</v>
      </c>
      <c r="B1539" s="600" t="s">
        <v>200</v>
      </c>
      <c r="C1539" s="502" t="s">
        <v>12</v>
      </c>
      <c r="D1539" s="146" t="s">
        <v>470</v>
      </c>
      <c r="E1539" s="502"/>
      <c r="F1539" s="502"/>
      <c r="G1539" s="502"/>
      <c r="H1539" s="113"/>
      <c r="I1539" s="113"/>
      <c r="J1539" s="502" t="s">
        <v>12</v>
      </c>
      <c r="K1539" s="146" t="str">
        <f>D1539</f>
        <v>Научно-методическое и ресурсное обеспечение системы образования</v>
      </c>
      <c r="L1539" s="114"/>
      <c r="M1539" s="114"/>
      <c r="N1539" s="114"/>
      <c r="O1539" s="113"/>
      <c r="P1539" s="113"/>
      <c r="Q1539" s="113"/>
      <c r="R1539" s="502"/>
      <c r="S1539" s="579" t="s">
        <v>279</v>
      </c>
      <c r="T1539" s="211"/>
    </row>
    <row r="1540" spans="1:21" s="212" customFormat="1" ht="179.25" customHeight="1" x14ac:dyDescent="0.35">
      <c r="A1540" s="576"/>
      <c r="B1540" s="600"/>
      <c r="C1540" s="114" t="s">
        <v>7</v>
      </c>
      <c r="D1540" s="116" t="s">
        <v>480</v>
      </c>
      <c r="E1540" s="114" t="s">
        <v>25</v>
      </c>
      <c r="F1540" s="114">
        <v>70</v>
      </c>
      <c r="G1540" s="114">
        <v>80</v>
      </c>
      <c r="H1540" s="115">
        <f>IF(G1540/F1540*100&gt;100,100,G1540/F1540*100)</f>
        <v>100</v>
      </c>
      <c r="I1540" s="114"/>
      <c r="J1540" s="114" t="s">
        <v>7</v>
      </c>
      <c r="K1540" s="129" t="s">
        <v>481</v>
      </c>
      <c r="L1540" s="130" t="s">
        <v>36</v>
      </c>
      <c r="M1540" s="131">
        <v>15</v>
      </c>
      <c r="N1540" s="131">
        <v>15</v>
      </c>
      <c r="O1540" s="132">
        <f>IF(N1540/M1540*100&gt;110,110,N1540/M1540*100)</f>
        <v>100</v>
      </c>
      <c r="P1540" s="127"/>
      <c r="Q1540" s="113"/>
      <c r="R1540" s="114"/>
      <c r="S1540" s="579"/>
      <c r="T1540" s="211"/>
    </row>
    <row r="1541" spans="1:21" s="331" customFormat="1" ht="45.75" customHeight="1" x14ac:dyDescent="0.35">
      <c r="A1541" s="576"/>
      <c r="B1541" s="600"/>
      <c r="C1541" s="191"/>
      <c r="D1541" s="183" t="s">
        <v>445</v>
      </c>
      <c r="E1541" s="191"/>
      <c r="F1541" s="184"/>
      <c r="G1541" s="184"/>
      <c r="H1541" s="187"/>
      <c r="I1541" s="187">
        <f>H1540</f>
        <v>100</v>
      </c>
      <c r="J1541" s="182"/>
      <c r="K1541" s="183" t="s">
        <v>445</v>
      </c>
      <c r="L1541" s="184"/>
      <c r="M1541" s="188"/>
      <c r="N1541" s="188"/>
      <c r="O1541" s="187"/>
      <c r="P1541" s="187">
        <f>I1541</f>
        <v>100</v>
      </c>
      <c r="Q1541" s="187">
        <f>(P1541+I1541)/2</f>
        <v>100</v>
      </c>
      <c r="R1541" s="191" t="s">
        <v>31</v>
      </c>
      <c r="S1541" s="579"/>
      <c r="T1541" s="330"/>
    </row>
    <row r="1542" spans="1:21" s="212" customFormat="1" ht="107.25" customHeight="1" x14ac:dyDescent="0.35">
      <c r="A1542" s="576"/>
      <c r="B1542" s="600"/>
      <c r="C1542" s="502" t="s">
        <v>388</v>
      </c>
      <c r="D1542" s="146" t="s">
        <v>273</v>
      </c>
      <c r="E1542" s="502"/>
      <c r="F1542" s="502"/>
      <c r="G1542" s="502"/>
      <c r="H1542" s="113"/>
      <c r="I1542" s="113"/>
      <c r="J1542" s="502" t="str">
        <f>C1542</f>
        <v xml:space="preserve">II </v>
      </c>
      <c r="K1542" s="146" t="str">
        <f>D1542</f>
        <v>Методическое обеспечение образовательной деятельности</v>
      </c>
      <c r="L1542" s="114"/>
      <c r="M1542" s="114"/>
      <c r="N1542" s="114"/>
      <c r="O1542" s="113"/>
      <c r="P1542" s="113"/>
      <c r="Q1542" s="113"/>
      <c r="R1542" s="502"/>
      <c r="S1542" s="579"/>
      <c r="T1542" s="211"/>
    </row>
    <row r="1543" spans="1:21" ht="92.25" customHeight="1" x14ac:dyDescent="0.35">
      <c r="A1543" s="576"/>
      <c r="B1543" s="600"/>
      <c r="C1543" s="114" t="s">
        <v>14</v>
      </c>
      <c r="D1543" s="116" t="s">
        <v>453</v>
      </c>
      <c r="E1543" s="114" t="s">
        <v>25</v>
      </c>
      <c r="F1543" s="131">
        <v>70</v>
      </c>
      <c r="G1543" s="131">
        <v>100</v>
      </c>
      <c r="H1543" s="115">
        <f>IF(G1543/F1543*100&gt;100,100,G1543/F1543*100)</f>
        <v>100</v>
      </c>
      <c r="I1543" s="199"/>
      <c r="J1543" s="132" t="str">
        <f>C1543</f>
        <v>2.1.</v>
      </c>
      <c r="K1543" s="129" t="s">
        <v>201</v>
      </c>
      <c r="L1543" s="130" t="s">
        <v>36</v>
      </c>
      <c r="M1543" s="131">
        <v>9</v>
      </c>
      <c r="N1543" s="131">
        <v>9</v>
      </c>
      <c r="O1543" s="132">
        <f>IF(N1543/M1543*100&gt;110,110,N1543/M1543*100)</f>
        <v>100</v>
      </c>
      <c r="P1543" s="199"/>
      <c r="Q1543" s="199"/>
      <c r="R1543" s="502"/>
      <c r="S1543" s="579"/>
      <c r="T1543" s="211"/>
    </row>
    <row r="1544" spans="1:21" ht="69.75" x14ac:dyDescent="0.35">
      <c r="A1544" s="576"/>
      <c r="B1544" s="600"/>
      <c r="C1544" s="114" t="s">
        <v>15</v>
      </c>
      <c r="D1544" s="214" t="s">
        <v>482</v>
      </c>
      <c r="E1544" s="114" t="s">
        <v>25</v>
      </c>
      <c r="F1544" s="114">
        <v>90</v>
      </c>
      <c r="G1544" s="131">
        <v>100</v>
      </c>
      <c r="H1544" s="115">
        <f>IF(G1544/F1544*100&gt;100,100,G1544/F1544*100)</f>
        <v>100</v>
      </c>
      <c r="I1544" s="113"/>
      <c r="J1544" s="133" t="str">
        <f>C1544</f>
        <v>2.2.</v>
      </c>
      <c r="K1544" s="503" t="s">
        <v>202</v>
      </c>
      <c r="L1544" s="114" t="s">
        <v>36</v>
      </c>
      <c r="M1544" s="131">
        <v>3</v>
      </c>
      <c r="N1544" s="131">
        <v>3</v>
      </c>
      <c r="O1544" s="132">
        <f>IF(N1544/M1544*100&gt;110,110,N1544/M1544*100)</f>
        <v>100</v>
      </c>
      <c r="P1544" s="113"/>
      <c r="Q1544" s="113"/>
      <c r="R1544" s="201"/>
      <c r="S1544" s="579"/>
      <c r="T1544" s="211"/>
    </row>
    <row r="1545" spans="1:21" x14ac:dyDescent="0.35">
      <c r="A1545" s="576"/>
      <c r="B1545" s="600"/>
      <c r="C1545" s="502"/>
      <c r="D1545" s="200"/>
      <c r="E1545" s="502"/>
      <c r="F1545" s="114"/>
      <c r="G1545" s="114"/>
      <c r="H1545" s="113"/>
      <c r="I1545" s="113"/>
      <c r="J1545" s="132" t="s">
        <v>39</v>
      </c>
      <c r="K1545" s="503" t="s">
        <v>40</v>
      </c>
      <c r="L1545" s="114" t="s">
        <v>36</v>
      </c>
      <c r="M1545" s="131">
        <v>3</v>
      </c>
      <c r="N1545" s="131">
        <v>3</v>
      </c>
      <c r="O1545" s="132">
        <f>IF(N1545/M1545*100&gt;110,110,N1545/M1545*100)</f>
        <v>100</v>
      </c>
      <c r="P1545" s="113"/>
      <c r="Q1545" s="113"/>
      <c r="R1545" s="201"/>
      <c r="S1545" s="579"/>
      <c r="T1545" s="211"/>
    </row>
    <row r="1546" spans="1:21" s="331" customFormat="1" ht="45.75" customHeight="1" x14ac:dyDescent="0.35">
      <c r="A1546" s="576"/>
      <c r="B1546" s="600"/>
      <c r="C1546" s="191"/>
      <c r="D1546" s="183" t="s">
        <v>6</v>
      </c>
      <c r="E1546" s="191"/>
      <c r="F1546" s="184"/>
      <c r="G1546" s="184"/>
      <c r="H1546" s="187"/>
      <c r="I1546" s="187">
        <f>H1543</f>
        <v>100</v>
      </c>
      <c r="J1546" s="182"/>
      <c r="K1546" s="183" t="s">
        <v>6</v>
      </c>
      <c r="L1546" s="184"/>
      <c r="M1546" s="188"/>
      <c r="N1546" s="188"/>
      <c r="O1546" s="187"/>
      <c r="P1546" s="187">
        <f>(O1544+O1543+O1545)/3</f>
        <v>100</v>
      </c>
      <c r="Q1546" s="187">
        <f>(P1546+I1546)/2</f>
        <v>100</v>
      </c>
      <c r="R1546" s="191" t="s">
        <v>31</v>
      </c>
      <c r="S1546" s="579"/>
      <c r="T1546" s="330"/>
    </row>
    <row r="1547" spans="1:21" x14ac:dyDescent="0.35">
      <c r="B1547" s="196"/>
      <c r="C1547" s="501"/>
      <c r="D1547" s="197"/>
      <c r="E1547" s="198"/>
      <c r="F1547" s="198"/>
      <c r="G1547" s="198"/>
      <c r="H1547" s="615"/>
      <c r="I1547" s="615"/>
      <c r="J1547" s="501"/>
      <c r="K1547" s="197"/>
      <c r="L1547" s="501"/>
      <c r="M1547" s="149"/>
      <c r="N1547" s="149"/>
      <c r="O1547" s="501"/>
      <c r="P1547" s="501"/>
      <c r="Q1547" s="501"/>
      <c r="S1547" s="512"/>
    </row>
    <row r="1548" spans="1:21" ht="63" customHeight="1" x14ac:dyDescent="0.35">
      <c r="B1548" s="616"/>
      <c r="C1548" s="616"/>
      <c r="D1548" s="616"/>
      <c r="E1548" s="501"/>
      <c r="F1548" s="617"/>
      <c r="G1548" s="617"/>
      <c r="H1548" s="617"/>
      <c r="I1548" s="192"/>
      <c r="J1548" s="501"/>
      <c r="K1548" s="501"/>
      <c r="L1548" s="501"/>
      <c r="M1548" s="501"/>
      <c r="N1548" s="501"/>
      <c r="O1548" s="192"/>
      <c r="P1548" s="192"/>
      <c r="Q1548" s="192"/>
      <c r="R1548" s="501"/>
      <c r="S1548" s="512"/>
    </row>
    <row r="1549" spans="1:21" x14ac:dyDescent="0.35">
      <c r="B1549" s="196"/>
      <c r="C1549" s="198"/>
      <c r="D1549" s="197"/>
      <c r="E1549" s="149"/>
      <c r="F1549" s="501"/>
      <c r="G1549" s="501"/>
      <c r="H1549" s="501"/>
      <c r="I1549" s="501"/>
      <c r="J1549" s="501"/>
      <c r="K1549" s="197"/>
      <c r="L1549" s="501"/>
      <c r="M1549" s="149"/>
      <c r="N1549" s="149"/>
      <c r="O1549" s="501"/>
      <c r="P1549" s="501"/>
      <c r="Q1549" s="501"/>
      <c r="S1549" s="344"/>
    </row>
    <row r="1550" spans="1:21" ht="67.5" customHeight="1" x14ac:dyDescent="0.35">
      <c r="C1550" s="512"/>
      <c r="D1550" s="511"/>
      <c r="E1550" s="512"/>
      <c r="F1550" s="149"/>
      <c r="G1550" s="149"/>
      <c r="H1550" s="344"/>
      <c r="I1550" s="344"/>
      <c r="J1550" s="527"/>
      <c r="K1550" s="511"/>
      <c r="L1550" s="149"/>
      <c r="M1550" s="528"/>
      <c r="N1550" s="528"/>
      <c r="O1550" s="344"/>
      <c r="P1550" s="344"/>
      <c r="Q1550" s="344"/>
      <c r="R1550" s="512"/>
      <c r="S1550" s="512"/>
    </row>
    <row r="1551" spans="1:21" ht="67.5" customHeight="1" x14ac:dyDescent="0.35">
      <c r="C1551" s="527"/>
      <c r="D1551" s="511"/>
      <c r="E1551" s="149"/>
      <c r="F1551" s="529"/>
      <c r="G1551" s="530"/>
      <c r="H1551" s="344"/>
      <c r="I1551" s="344"/>
      <c r="J1551" s="149"/>
      <c r="K1551" s="511"/>
      <c r="L1551" s="149"/>
      <c r="M1551" s="528"/>
      <c r="N1551" s="528"/>
      <c r="O1551" s="344"/>
      <c r="P1551" s="344"/>
      <c r="Q1551" s="344"/>
      <c r="R1551" s="512"/>
      <c r="S1551" s="512"/>
    </row>
    <row r="1552" spans="1:21" ht="67.5" customHeight="1" x14ac:dyDescent="0.35">
      <c r="C1552" s="512"/>
      <c r="D1552" s="511"/>
      <c r="E1552" s="512"/>
      <c r="F1552" s="149"/>
      <c r="G1552" s="149"/>
      <c r="H1552" s="344"/>
      <c r="I1552" s="344"/>
      <c r="J1552" s="527"/>
      <c r="K1552" s="511"/>
      <c r="L1552" s="149"/>
      <c r="M1552" s="528"/>
      <c r="N1552" s="528"/>
      <c r="O1552" s="344"/>
      <c r="P1552" s="344"/>
      <c r="Q1552" s="344"/>
      <c r="R1552" s="512"/>
      <c r="S1552" s="512"/>
    </row>
    <row r="1553" spans="16:19" x14ac:dyDescent="0.35">
      <c r="P1553" s="618"/>
      <c r="Q1553" s="618"/>
      <c r="S1553" s="512"/>
    </row>
    <row r="1554" spans="16:19" x14ac:dyDescent="0.35">
      <c r="P1554" s="619"/>
      <c r="Q1554" s="619"/>
      <c r="R1554" s="526"/>
      <c r="S1554" s="512"/>
    </row>
    <row r="1555" spans="16:19" x14ac:dyDescent="0.35">
      <c r="S1555" s="512"/>
    </row>
    <row r="1556" spans="16:19" x14ac:dyDescent="0.35">
      <c r="S1556" s="512"/>
    </row>
    <row r="1557" spans="16:19" x14ac:dyDescent="0.35">
      <c r="S1557" s="512"/>
    </row>
    <row r="1558" spans="16:19" x14ac:dyDescent="0.35">
      <c r="S1558" s="512"/>
    </row>
    <row r="1559" spans="16:19" x14ac:dyDescent="0.35">
      <c r="S1559" s="512"/>
    </row>
  </sheetData>
  <mergeCells count="428">
    <mergeCell ref="H1547:I1547"/>
    <mergeCell ref="B1548:D1548"/>
    <mergeCell ref="F1548:H1548"/>
    <mergeCell ref="P1553:Q1553"/>
    <mergeCell ref="P1554:Q1554"/>
    <mergeCell ref="A1524:A1538"/>
    <mergeCell ref="B1524:B1538"/>
    <mergeCell ref="S1524:S1538"/>
    <mergeCell ref="A1539:A1546"/>
    <mergeCell ref="B1539:B1546"/>
    <mergeCell ref="S1539:S1546"/>
    <mergeCell ref="A1487:A1504"/>
    <mergeCell ref="B1487:B1504"/>
    <mergeCell ref="S1487:S1504"/>
    <mergeCell ref="A1505:A1523"/>
    <mergeCell ref="B1505:B1523"/>
    <mergeCell ref="S1505:S1523"/>
    <mergeCell ref="A1453:A1469"/>
    <mergeCell ref="B1453:B1469"/>
    <mergeCell ref="S1453:S1469"/>
    <mergeCell ref="A1470:A1486"/>
    <mergeCell ref="B1470:B1486"/>
    <mergeCell ref="S1470:S1486"/>
    <mergeCell ref="A1411:A1438"/>
    <mergeCell ref="B1411:B1438"/>
    <mergeCell ref="S1411:S1438"/>
    <mergeCell ref="A1439:A1452"/>
    <mergeCell ref="B1439:B1452"/>
    <mergeCell ref="S1439:S1452"/>
    <mergeCell ref="C1446:C1447"/>
    <mergeCell ref="D1446:D1447"/>
    <mergeCell ref="E1446:E1447"/>
    <mergeCell ref="F1446:F1447"/>
    <mergeCell ref="M1446:M1447"/>
    <mergeCell ref="N1446:N1447"/>
    <mergeCell ref="O1446:O1447"/>
    <mergeCell ref="P1446:P1447"/>
    <mergeCell ref="Q1446:Q1447"/>
    <mergeCell ref="R1446:R1447"/>
    <mergeCell ref="G1446:G1447"/>
    <mergeCell ref="H1446:H1447"/>
    <mergeCell ref="I1446:I1447"/>
    <mergeCell ref="J1446:J1447"/>
    <mergeCell ref="K1446:K1447"/>
    <mergeCell ref="L1446:L1447"/>
    <mergeCell ref="A1355:A1382"/>
    <mergeCell ref="B1355:B1382"/>
    <mergeCell ref="S1355:S1382"/>
    <mergeCell ref="A1383:A1410"/>
    <mergeCell ref="B1383:B1410"/>
    <mergeCell ref="S1383:S1410"/>
    <mergeCell ref="A1299:A1326"/>
    <mergeCell ref="B1299:B1326"/>
    <mergeCell ref="S1299:S1326"/>
    <mergeCell ref="A1327:A1354"/>
    <mergeCell ref="B1327:B1354"/>
    <mergeCell ref="S1327:S1354"/>
    <mergeCell ref="A1243:A1270"/>
    <mergeCell ref="B1243:B1270"/>
    <mergeCell ref="S1243:S1270"/>
    <mergeCell ref="A1271:A1298"/>
    <mergeCell ref="B1271:B1298"/>
    <mergeCell ref="S1271:S1298"/>
    <mergeCell ref="A1187:A1214"/>
    <mergeCell ref="B1187:B1214"/>
    <mergeCell ref="S1187:S1214"/>
    <mergeCell ref="A1215:A1242"/>
    <mergeCell ref="B1215:B1242"/>
    <mergeCell ref="S1215:S1242"/>
    <mergeCell ref="A1131:A1158"/>
    <mergeCell ref="B1131:B1158"/>
    <mergeCell ref="S1131:S1158"/>
    <mergeCell ref="A1159:A1186"/>
    <mergeCell ref="B1159:B1186"/>
    <mergeCell ref="S1159:S1186"/>
    <mergeCell ref="A1075:A1102"/>
    <mergeCell ref="B1075:B1102"/>
    <mergeCell ref="S1075:S1102"/>
    <mergeCell ref="A1103:A1130"/>
    <mergeCell ref="B1103:B1130"/>
    <mergeCell ref="S1103:S1130"/>
    <mergeCell ref="A1013:A1040"/>
    <mergeCell ref="B1013:B1040"/>
    <mergeCell ref="S1013:S1040"/>
    <mergeCell ref="A1041:A1074"/>
    <mergeCell ref="B1041:B1074"/>
    <mergeCell ref="S1041:S1074"/>
    <mergeCell ref="A948:A984"/>
    <mergeCell ref="B948:B984"/>
    <mergeCell ref="S948:S984"/>
    <mergeCell ref="A985:A1012"/>
    <mergeCell ref="B985:B1012"/>
    <mergeCell ref="S985:S1012"/>
    <mergeCell ref="A892:A919"/>
    <mergeCell ref="B892:B919"/>
    <mergeCell ref="S892:S919"/>
    <mergeCell ref="A920:A947"/>
    <mergeCell ref="B920:B947"/>
    <mergeCell ref="S920:S947"/>
    <mergeCell ref="A840:A867"/>
    <mergeCell ref="B840:B867"/>
    <mergeCell ref="S840:S867"/>
    <mergeCell ref="A868:A891"/>
    <mergeCell ref="B868:B891"/>
    <mergeCell ref="S868:S891"/>
    <mergeCell ref="A784:A811"/>
    <mergeCell ref="B784:B811"/>
    <mergeCell ref="S784:S811"/>
    <mergeCell ref="A812:A839"/>
    <mergeCell ref="B812:B839"/>
    <mergeCell ref="S812:S839"/>
    <mergeCell ref="A728:A755"/>
    <mergeCell ref="B728:B755"/>
    <mergeCell ref="S728:S755"/>
    <mergeCell ref="A756:A783"/>
    <mergeCell ref="B756:B783"/>
    <mergeCell ref="S756:S783"/>
    <mergeCell ref="A672:A699"/>
    <mergeCell ref="B672:B699"/>
    <mergeCell ref="S672:S699"/>
    <mergeCell ref="A700:A727"/>
    <mergeCell ref="B700:B727"/>
    <mergeCell ref="S700:S727"/>
    <mergeCell ref="A613:A643"/>
    <mergeCell ref="B613:B643"/>
    <mergeCell ref="S613:S643"/>
    <mergeCell ref="A644:A671"/>
    <mergeCell ref="B644:B671"/>
    <mergeCell ref="S644:S671"/>
    <mergeCell ref="A557:A584"/>
    <mergeCell ref="B557:B584"/>
    <mergeCell ref="S557:S584"/>
    <mergeCell ref="A585:A612"/>
    <mergeCell ref="B585:B612"/>
    <mergeCell ref="S585:S612"/>
    <mergeCell ref="A501:A528"/>
    <mergeCell ref="B501:B528"/>
    <mergeCell ref="S501:S528"/>
    <mergeCell ref="A529:A556"/>
    <mergeCell ref="B529:B556"/>
    <mergeCell ref="S529:S556"/>
    <mergeCell ref="A433:A460"/>
    <mergeCell ref="B433:B460"/>
    <mergeCell ref="S433:S460"/>
    <mergeCell ref="A461:A500"/>
    <mergeCell ref="B461:B500"/>
    <mergeCell ref="S461:S500"/>
    <mergeCell ref="A396:A404"/>
    <mergeCell ref="B396:B404"/>
    <mergeCell ref="S396:S404"/>
    <mergeCell ref="A405:A432"/>
    <mergeCell ref="B405:B432"/>
    <mergeCell ref="S405:S432"/>
    <mergeCell ref="A386:A395"/>
    <mergeCell ref="B386:B395"/>
    <mergeCell ref="Q373:Q374"/>
    <mergeCell ref="R373:R374"/>
    <mergeCell ref="A377:A385"/>
    <mergeCell ref="B377:B385"/>
    <mergeCell ref="S386:S395"/>
    <mergeCell ref="J392:J393"/>
    <mergeCell ref="K392:K393"/>
    <mergeCell ref="L392:L393"/>
    <mergeCell ref="M392:M393"/>
    <mergeCell ref="N392:N393"/>
    <mergeCell ref="O392:O393"/>
    <mergeCell ref="P392:P393"/>
    <mergeCell ref="Q392:Q393"/>
    <mergeCell ref="R392:R393"/>
    <mergeCell ref="S377:S385"/>
    <mergeCell ref="J383:J384"/>
    <mergeCell ref="K383:K384"/>
    <mergeCell ref="L383:L384"/>
    <mergeCell ref="M383:M384"/>
    <mergeCell ref="N383:N384"/>
    <mergeCell ref="A367:A376"/>
    <mergeCell ref="B367:B376"/>
    <mergeCell ref="S367:S376"/>
    <mergeCell ref="J373:J374"/>
    <mergeCell ref="K373:K374"/>
    <mergeCell ref="L373:L374"/>
    <mergeCell ref="M373:M374"/>
    <mergeCell ref="N373:N374"/>
    <mergeCell ref="O373:O374"/>
    <mergeCell ref="P373:P374"/>
    <mergeCell ref="O383:O384"/>
    <mergeCell ref="P383:P384"/>
    <mergeCell ref="Q383:Q384"/>
    <mergeCell ref="R383:R384"/>
    <mergeCell ref="A358:A366"/>
    <mergeCell ref="B358:B366"/>
    <mergeCell ref="A338:A347"/>
    <mergeCell ref="B338:B347"/>
    <mergeCell ref="S358:S366"/>
    <mergeCell ref="J364:J365"/>
    <mergeCell ref="K364:K365"/>
    <mergeCell ref="L364:L365"/>
    <mergeCell ref="M364:M365"/>
    <mergeCell ref="N364:N365"/>
    <mergeCell ref="O364:O365"/>
    <mergeCell ref="P364:P365"/>
    <mergeCell ref="Q364:Q365"/>
    <mergeCell ref="R364:R365"/>
    <mergeCell ref="S338:S347"/>
    <mergeCell ref="A348:A357"/>
    <mergeCell ref="B348:B357"/>
    <mergeCell ref="S348:S357"/>
    <mergeCell ref="J354:J355"/>
    <mergeCell ref="K354:K355"/>
    <mergeCell ref="L354:L355"/>
    <mergeCell ref="M354:M355"/>
    <mergeCell ref="A318:A327"/>
    <mergeCell ref="B318:B327"/>
    <mergeCell ref="S318:S327"/>
    <mergeCell ref="A328:A337"/>
    <mergeCell ref="B328:B337"/>
    <mergeCell ref="S328:S337"/>
    <mergeCell ref="N354:N355"/>
    <mergeCell ref="O354:O355"/>
    <mergeCell ref="P354:P355"/>
    <mergeCell ref="Q354:Q355"/>
    <mergeCell ref="R354:R355"/>
    <mergeCell ref="S285:S297"/>
    <mergeCell ref="A298:A307"/>
    <mergeCell ref="B298:B307"/>
    <mergeCell ref="S298:S307"/>
    <mergeCell ref="A308:A317"/>
    <mergeCell ref="B308:B317"/>
    <mergeCell ref="S308:S317"/>
    <mergeCell ref="N279:N280"/>
    <mergeCell ref="O279:O280"/>
    <mergeCell ref="P279:P280"/>
    <mergeCell ref="Q279:Q280"/>
    <mergeCell ref="R279:R280"/>
    <mergeCell ref="A285:A297"/>
    <mergeCell ref="B285:B297"/>
    <mergeCell ref="A263:A272"/>
    <mergeCell ref="B263:B272"/>
    <mergeCell ref="S263:S272"/>
    <mergeCell ref="A273:A284"/>
    <mergeCell ref="B273:B284"/>
    <mergeCell ref="S273:S284"/>
    <mergeCell ref="J279:J280"/>
    <mergeCell ref="K279:K280"/>
    <mergeCell ref="L279:L280"/>
    <mergeCell ref="M279:M280"/>
    <mergeCell ref="A243:A252"/>
    <mergeCell ref="B243:B252"/>
    <mergeCell ref="S243:S252"/>
    <mergeCell ref="A253:A262"/>
    <mergeCell ref="B253:B262"/>
    <mergeCell ref="S253:S262"/>
    <mergeCell ref="L240:L241"/>
    <mergeCell ref="M240:M241"/>
    <mergeCell ref="N240:N241"/>
    <mergeCell ref="O240:O241"/>
    <mergeCell ref="P240:P241"/>
    <mergeCell ref="Q240:Q241"/>
    <mergeCell ref="Q218:Q219"/>
    <mergeCell ref="R218:R219"/>
    <mergeCell ref="A225:A233"/>
    <mergeCell ref="B225:B233"/>
    <mergeCell ref="S225:S233"/>
    <mergeCell ref="A234:A242"/>
    <mergeCell ref="B234:B242"/>
    <mergeCell ref="S234:S242"/>
    <mergeCell ref="J240:J241"/>
    <mergeCell ref="K240:K241"/>
    <mergeCell ref="A212:A224"/>
    <mergeCell ref="B212:B224"/>
    <mergeCell ref="S212:S224"/>
    <mergeCell ref="J218:J219"/>
    <mergeCell ref="K218:K219"/>
    <mergeCell ref="L218:L219"/>
    <mergeCell ref="M218:M219"/>
    <mergeCell ref="N218:N219"/>
    <mergeCell ref="O218:O219"/>
    <mergeCell ref="P218:P219"/>
    <mergeCell ref="R240:R241"/>
    <mergeCell ref="A203:A211"/>
    <mergeCell ref="B203:B211"/>
    <mergeCell ref="Q189:Q190"/>
    <mergeCell ref="R189:R190"/>
    <mergeCell ref="A193:A202"/>
    <mergeCell ref="B193:B202"/>
    <mergeCell ref="S203:S211"/>
    <mergeCell ref="J209:J210"/>
    <mergeCell ref="K209:K210"/>
    <mergeCell ref="L209:L210"/>
    <mergeCell ref="M209:M210"/>
    <mergeCell ref="N209:N210"/>
    <mergeCell ref="O209:O210"/>
    <mergeCell ref="P209:P210"/>
    <mergeCell ref="Q209:Q210"/>
    <mergeCell ref="R209:R210"/>
    <mergeCell ref="S193:S202"/>
    <mergeCell ref="J199:J200"/>
    <mergeCell ref="K199:K200"/>
    <mergeCell ref="L199:L200"/>
    <mergeCell ref="M199:M200"/>
    <mergeCell ref="N199:N200"/>
    <mergeCell ref="A183:A192"/>
    <mergeCell ref="B183:B192"/>
    <mergeCell ref="S183:S192"/>
    <mergeCell ref="J189:J190"/>
    <mergeCell ref="K189:K190"/>
    <mergeCell ref="L189:L190"/>
    <mergeCell ref="M189:M190"/>
    <mergeCell ref="N189:N190"/>
    <mergeCell ref="O189:O190"/>
    <mergeCell ref="P189:P190"/>
    <mergeCell ref="O199:O200"/>
    <mergeCell ref="P199:P200"/>
    <mergeCell ref="Q199:Q200"/>
    <mergeCell ref="R199:R200"/>
    <mergeCell ref="B143:B151"/>
    <mergeCell ref="M179:M180"/>
    <mergeCell ref="N179:N180"/>
    <mergeCell ref="O179:O180"/>
    <mergeCell ref="P179:P180"/>
    <mergeCell ref="Q179:Q180"/>
    <mergeCell ref="R179:R180"/>
    <mergeCell ref="S152:S163"/>
    <mergeCell ref="A164:A172"/>
    <mergeCell ref="B164:B172"/>
    <mergeCell ref="S164:S172"/>
    <mergeCell ref="A173:A182"/>
    <mergeCell ref="B173:B182"/>
    <mergeCell ref="S173:S182"/>
    <mergeCell ref="J179:J180"/>
    <mergeCell ref="K179:K180"/>
    <mergeCell ref="L179:L180"/>
    <mergeCell ref="A152:A163"/>
    <mergeCell ref="B152:B163"/>
    <mergeCell ref="S143:S151"/>
    <mergeCell ref="J149:J150"/>
    <mergeCell ref="K149:K150"/>
    <mergeCell ref="L149:L150"/>
    <mergeCell ref="M149:M150"/>
    <mergeCell ref="S124:S133"/>
    <mergeCell ref="A134:A142"/>
    <mergeCell ref="B134:B142"/>
    <mergeCell ref="S134:S142"/>
    <mergeCell ref="J140:J141"/>
    <mergeCell ref="K140:K141"/>
    <mergeCell ref="L140:L141"/>
    <mergeCell ref="M140:M141"/>
    <mergeCell ref="N140:N141"/>
    <mergeCell ref="O140:O141"/>
    <mergeCell ref="N149:N150"/>
    <mergeCell ref="O149:O150"/>
    <mergeCell ref="P149:P150"/>
    <mergeCell ref="Q149:Q150"/>
    <mergeCell ref="R149:R150"/>
    <mergeCell ref="P140:P141"/>
    <mergeCell ref="Q140:Q141"/>
    <mergeCell ref="R140:R141"/>
    <mergeCell ref="A143:A151"/>
    <mergeCell ref="N120:N121"/>
    <mergeCell ref="O120:O121"/>
    <mergeCell ref="P120:P121"/>
    <mergeCell ref="Q120:Q121"/>
    <mergeCell ref="R120:R121"/>
    <mergeCell ref="A124:A133"/>
    <mergeCell ref="B124:B133"/>
    <mergeCell ref="A101:A113"/>
    <mergeCell ref="B101:B113"/>
    <mergeCell ref="S101:S113"/>
    <mergeCell ref="A114:A123"/>
    <mergeCell ref="B114:B123"/>
    <mergeCell ref="S114:S123"/>
    <mergeCell ref="J120:J121"/>
    <mergeCell ref="K120:K121"/>
    <mergeCell ref="L120:L121"/>
    <mergeCell ref="M120:M121"/>
    <mergeCell ref="Q79:Q80"/>
    <mergeCell ref="R79:R80"/>
    <mergeCell ref="A82:A90"/>
    <mergeCell ref="B82:B90"/>
    <mergeCell ref="S82:S90"/>
    <mergeCell ref="A91:A100"/>
    <mergeCell ref="B91:B100"/>
    <mergeCell ref="S91:S100"/>
    <mergeCell ref="A73:A81"/>
    <mergeCell ref="B73:B81"/>
    <mergeCell ref="S73:S81"/>
    <mergeCell ref="J79:J80"/>
    <mergeCell ref="K79:K80"/>
    <mergeCell ref="L79:L80"/>
    <mergeCell ref="M79:M80"/>
    <mergeCell ref="N79:N80"/>
    <mergeCell ref="O79:O80"/>
    <mergeCell ref="P79:P80"/>
    <mergeCell ref="Q43:Q44"/>
    <mergeCell ref="R43:R44"/>
    <mergeCell ref="A50:A59"/>
    <mergeCell ref="B50:B59"/>
    <mergeCell ref="S50:S59"/>
    <mergeCell ref="A60:A72"/>
    <mergeCell ref="B60:B72"/>
    <mergeCell ref="S60:S72"/>
    <mergeCell ref="A37:A49"/>
    <mergeCell ref="B37:B49"/>
    <mergeCell ref="S37:S49"/>
    <mergeCell ref="J43:J44"/>
    <mergeCell ref="K43:K44"/>
    <mergeCell ref="L43:L44"/>
    <mergeCell ref="M43:M44"/>
    <mergeCell ref="N43:N44"/>
    <mergeCell ref="O43:O44"/>
    <mergeCell ref="P43:P44"/>
    <mergeCell ref="Q9:S9"/>
    <mergeCell ref="A12:A24"/>
    <mergeCell ref="B12:B24"/>
    <mergeCell ref="S12:S24"/>
    <mergeCell ref="A25:A36"/>
    <mergeCell ref="B25:B36"/>
    <mergeCell ref="S25:S36"/>
    <mergeCell ref="B2:Q2"/>
    <mergeCell ref="B3:Q3"/>
    <mergeCell ref="B4:Q4"/>
    <mergeCell ref="B5:Q5"/>
    <mergeCell ref="B6:Q6"/>
    <mergeCell ref="A8:A10"/>
    <mergeCell ref="B8:B10"/>
    <mergeCell ref="D8:S8"/>
    <mergeCell ref="D9:I9"/>
    <mergeCell ref="J9:P9"/>
  </mergeCells>
  <printOptions horizontalCentered="1"/>
  <pageMargins left="0.31496062992125984" right="0.19685039370078741" top="0.19685039370078741" bottom="0.19685039370078741" header="0.31496062992125984" footer="0.31496062992125984"/>
  <pageSetup paperSize="9" scale="28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tabColor rgb="FF92D050"/>
    <pageSetUpPr fitToPage="1"/>
  </sheetPr>
  <dimension ref="A1:U294"/>
  <sheetViews>
    <sheetView view="pageBreakPreview" zoomScale="70" zoomScaleNormal="100" zoomScaleSheetLayoutView="70" workbookViewId="0">
      <selection activeCell="F266" sqref="F266"/>
    </sheetView>
  </sheetViews>
  <sheetFormatPr defaultRowHeight="17.25" x14ac:dyDescent="0.3"/>
  <cols>
    <col min="1" max="1" width="9.140625" style="47"/>
    <col min="2" max="2" width="36.28515625" style="13" customWidth="1"/>
    <col min="4" max="4" width="38.140625" style="99" customWidth="1"/>
    <col min="5" max="5" width="18.85546875" style="18" customWidth="1"/>
    <col min="6" max="6" width="16.140625" style="425" customWidth="1"/>
    <col min="7" max="7" width="18.5703125" style="426" customWidth="1"/>
    <col min="8" max="8" width="17.7109375" style="426" customWidth="1"/>
    <col min="9" max="9" width="17.7109375" style="18" customWidth="1"/>
    <col min="10" max="10" width="12.5703125" style="18" customWidth="1"/>
    <col min="11" max="11" width="47.42578125" style="99" customWidth="1"/>
    <col min="12" max="12" width="12.5703125" style="18" customWidth="1"/>
    <col min="13" max="14" width="21" style="18" customWidth="1"/>
    <col min="15" max="15" width="14.140625" style="426" customWidth="1"/>
    <col min="16" max="16" width="18.42578125" style="18" customWidth="1"/>
    <col min="17" max="17" width="18.7109375" style="18" customWidth="1"/>
    <col min="18" max="18" width="19.7109375" style="427" customWidth="1"/>
    <col min="19" max="19" width="27" style="420" customWidth="1"/>
    <col min="20" max="20" width="9.140625" style="441"/>
    <col min="21" max="21" width="9.140625" style="155"/>
  </cols>
  <sheetData>
    <row r="1" spans="1:21" ht="18.75" x14ac:dyDescent="0.25">
      <c r="B1" s="33"/>
      <c r="C1" s="1"/>
      <c r="D1" s="87"/>
      <c r="E1" s="88"/>
      <c r="F1" s="89"/>
      <c r="G1" s="419"/>
      <c r="H1" s="419"/>
      <c r="I1" s="86"/>
      <c r="J1" s="86"/>
      <c r="K1" s="87"/>
      <c r="L1" s="86"/>
      <c r="M1" s="86"/>
      <c r="N1" s="86"/>
      <c r="O1" s="292"/>
      <c r="P1" s="86"/>
      <c r="Q1" s="86"/>
      <c r="R1" s="90"/>
    </row>
    <row r="2" spans="1:21" ht="20.25" x14ac:dyDescent="0.25">
      <c r="B2" s="562" t="s">
        <v>0</v>
      </c>
      <c r="C2" s="562"/>
      <c r="D2" s="562"/>
      <c r="E2" s="562"/>
      <c r="F2" s="562"/>
      <c r="G2" s="620"/>
      <c r="H2" s="620"/>
      <c r="I2" s="562"/>
      <c r="J2" s="562"/>
      <c r="K2" s="562"/>
      <c r="L2" s="562"/>
      <c r="M2" s="562"/>
      <c r="N2" s="562"/>
      <c r="O2" s="620"/>
      <c r="P2" s="562"/>
      <c r="Q2" s="562"/>
      <c r="R2" s="169"/>
    </row>
    <row r="3" spans="1:21" ht="16.5" customHeight="1" x14ac:dyDescent="0.25">
      <c r="B3" s="562" t="s">
        <v>287</v>
      </c>
      <c r="C3" s="562"/>
      <c r="D3" s="562"/>
      <c r="E3" s="562"/>
      <c r="F3" s="562"/>
      <c r="G3" s="620"/>
      <c r="H3" s="620"/>
      <c r="I3" s="562"/>
      <c r="J3" s="562"/>
      <c r="K3" s="562"/>
      <c r="L3" s="562"/>
      <c r="M3" s="562"/>
      <c r="N3" s="562"/>
      <c r="O3" s="620"/>
      <c r="P3" s="562"/>
      <c r="Q3" s="562"/>
      <c r="R3" s="169"/>
    </row>
    <row r="4" spans="1:21" ht="24" customHeight="1" x14ac:dyDescent="0.25">
      <c r="B4" s="563" t="s">
        <v>282</v>
      </c>
      <c r="C4" s="563"/>
      <c r="D4" s="563"/>
      <c r="E4" s="563"/>
      <c r="F4" s="563"/>
      <c r="G4" s="621"/>
      <c r="H4" s="621"/>
      <c r="I4" s="563"/>
      <c r="J4" s="563"/>
      <c r="K4" s="563"/>
      <c r="L4" s="563"/>
      <c r="M4" s="563"/>
      <c r="N4" s="563"/>
      <c r="O4" s="621"/>
      <c r="P4" s="563"/>
      <c r="Q4" s="563"/>
      <c r="R4" s="169"/>
    </row>
    <row r="5" spans="1:21" ht="16.5" x14ac:dyDescent="0.25">
      <c r="B5" s="560" t="s">
        <v>33</v>
      </c>
      <c r="C5" s="560"/>
      <c r="D5" s="560"/>
      <c r="E5" s="560"/>
      <c r="F5" s="560"/>
      <c r="G5" s="622"/>
      <c r="H5" s="622"/>
      <c r="I5" s="560"/>
      <c r="J5" s="560"/>
      <c r="K5" s="560"/>
      <c r="L5" s="560"/>
      <c r="M5" s="560"/>
      <c r="N5" s="560"/>
      <c r="O5" s="622"/>
      <c r="P5" s="560"/>
      <c r="Q5" s="560"/>
      <c r="R5" s="421"/>
    </row>
    <row r="6" spans="1:21" ht="20.25" x14ac:dyDescent="0.25">
      <c r="B6" s="562" t="s">
        <v>563</v>
      </c>
      <c r="C6" s="562"/>
      <c r="D6" s="562"/>
      <c r="E6" s="562"/>
      <c r="F6" s="562"/>
      <c r="G6" s="620"/>
      <c r="H6" s="620"/>
      <c r="I6" s="562"/>
      <c r="J6" s="562"/>
      <c r="K6" s="562"/>
      <c r="L6" s="562"/>
      <c r="M6" s="562"/>
      <c r="N6" s="562"/>
      <c r="O6" s="620"/>
      <c r="P6" s="562"/>
      <c r="Q6" s="562"/>
      <c r="R6" s="90"/>
    </row>
    <row r="7" spans="1:21" ht="16.5" x14ac:dyDescent="0.25">
      <c r="B7" s="349"/>
      <c r="C7" s="349"/>
      <c r="D7" s="91"/>
      <c r="E7" s="90"/>
      <c r="F7" s="92"/>
      <c r="G7" s="293"/>
      <c r="H7" s="293"/>
      <c r="I7" s="90"/>
      <c r="J7" s="90"/>
      <c r="K7" s="91"/>
      <c r="L7" s="90"/>
      <c r="M7" s="90"/>
      <c r="N7" s="90"/>
      <c r="O7" s="293"/>
      <c r="P7" s="90"/>
      <c r="Q7" s="90"/>
      <c r="R7" s="90"/>
    </row>
    <row r="8" spans="1:21" ht="16.5" x14ac:dyDescent="0.25">
      <c r="A8" s="553" t="s">
        <v>1</v>
      </c>
      <c r="B8" s="553" t="s">
        <v>1</v>
      </c>
      <c r="C8" s="350"/>
      <c r="D8" s="623" t="s">
        <v>2</v>
      </c>
      <c r="E8" s="623"/>
      <c r="F8" s="623"/>
      <c r="G8" s="624"/>
      <c r="H8" s="624"/>
      <c r="I8" s="623"/>
      <c r="J8" s="623"/>
      <c r="K8" s="623"/>
      <c r="L8" s="623"/>
      <c r="M8" s="623"/>
      <c r="N8" s="623"/>
      <c r="O8" s="624"/>
      <c r="P8" s="623"/>
      <c r="Q8" s="625"/>
      <c r="R8" s="625"/>
      <c r="S8" s="445"/>
    </row>
    <row r="9" spans="1:21" ht="16.5" x14ac:dyDescent="0.25">
      <c r="A9" s="553"/>
      <c r="B9" s="553"/>
      <c r="C9" s="350"/>
      <c r="D9" s="623" t="s">
        <v>3</v>
      </c>
      <c r="E9" s="623"/>
      <c r="F9" s="623"/>
      <c r="G9" s="624"/>
      <c r="H9" s="624"/>
      <c r="I9" s="623"/>
      <c r="J9" s="623" t="s">
        <v>4</v>
      </c>
      <c r="K9" s="626"/>
      <c r="L9" s="626"/>
      <c r="M9" s="626"/>
      <c r="N9" s="626"/>
      <c r="O9" s="627"/>
      <c r="P9" s="626"/>
      <c r="Q9" s="623" t="s">
        <v>24</v>
      </c>
      <c r="R9" s="623"/>
      <c r="S9" s="628"/>
    </row>
    <row r="10" spans="1:21" ht="66" x14ac:dyDescent="0.25">
      <c r="A10" s="553"/>
      <c r="B10" s="553"/>
      <c r="C10" s="350" t="s">
        <v>1</v>
      </c>
      <c r="D10" s="93" t="s">
        <v>5</v>
      </c>
      <c r="E10" s="78" t="s">
        <v>11</v>
      </c>
      <c r="F10" s="94" t="s">
        <v>16</v>
      </c>
      <c r="G10" s="94" t="s">
        <v>17</v>
      </c>
      <c r="H10" s="94" t="s">
        <v>18</v>
      </c>
      <c r="I10" s="94" t="s">
        <v>19</v>
      </c>
      <c r="J10" s="369" t="s">
        <v>1</v>
      </c>
      <c r="K10" s="78" t="s">
        <v>5</v>
      </c>
      <c r="L10" s="78" t="s">
        <v>11</v>
      </c>
      <c r="M10" s="94" t="s">
        <v>20</v>
      </c>
      <c r="N10" s="94" t="s">
        <v>21</v>
      </c>
      <c r="O10" s="94" t="s">
        <v>23</v>
      </c>
      <c r="P10" s="94" t="s">
        <v>22</v>
      </c>
      <c r="Q10" s="422" t="s">
        <v>62</v>
      </c>
      <c r="R10" s="369" t="s">
        <v>422</v>
      </c>
      <c r="S10" s="369" t="s">
        <v>423</v>
      </c>
    </row>
    <row r="11" spans="1:21" s="31" customFormat="1" ht="15.75" x14ac:dyDescent="0.25">
      <c r="A11" s="46">
        <v>1</v>
      </c>
      <c r="B11" s="48">
        <v>2</v>
      </c>
      <c r="C11" s="48">
        <v>3</v>
      </c>
      <c r="D11" s="294">
        <v>4</v>
      </c>
      <c r="E11" s="295">
        <v>5</v>
      </c>
      <c r="F11" s="295">
        <v>6</v>
      </c>
      <c r="G11" s="294">
        <v>7</v>
      </c>
      <c r="H11" s="295">
        <v>8</v>
      </c>
      <c r="I11" s="295">
        <v>9</v>
      </c>
      <c r="J11" s="295">
        <v>10</v>
      </c>
      <c r="K11" s="295">
        <v>11</v>
      </c>
      <c r="L11" s="294">
        <v>12</v>
      </c>
      <c r="M11" s="295">
        <v>13</v>
      </c>
      <c r="N11" s="295">
        <v>14</v>
      </c>
      <c r="O11" s="295">
        <v>15</v>
      </c>
      <c r="P11" s="294">
        <v>16</v>
      </c>
      <c r="Q11" s="294">
        <v>17</v>
      </c>
      <c r="R11" s="295">
        <v>18</v>
      </c>
      <c r="S11" s="295">
        <v>19</v>
      </c>
      <c r="T11" s="442"/>
      <c r="U11" s="443"/>
    </row>
    <row r="12" spans="1:21" ht="82.5" x14ac:dyDescent="0.25">
      <c r="A12" s="629" t="s">
        <v>67</v>
      </c>
      <c r="B12" s="630" t="s">
        <v>222</v>
      </c>
      <c r="C12" s="354" t="s">
        <v>12</v>
      </c>
      <c r="D12" s="23" t="s">
        <v>220</v>
      </c>
      <c r="E12" s="369"/>
      <c r="F12" s="215"/>
      <c r="G12" s="215"/>
      <c r="H12" s="216"/>
      <c r="I12" s="49"/>
      <c r="J12" s="354" t="s">
        <v>12</v>
      </c>
      <c r="K12" s="22" t="str">
        <f>D12</f>
        <v>Библиотечное, библиографическое и информационное обслуживание пользователей библиотеки</v>
      </c>
      <c r="L12" s="357"/>
      <c r="M12" s="358"/>
      <c r="N12" s="358"/>
      <c r="O12" s="216"/>
      <c r="P12" s="39"/>
      <c r="Q12" s="353"/>
      <c r="R12" s="354"/>
      <c r="S12" s="631" t="s">
        <v>280</v>
      </c>
    </row>
    <row r="13" spans="1:21" ht="66" x14ac:dyDescent="0.25">
      <c r="A13" s="629"/>
      <c r="B13" s="630"/>
      <c r="C13" s="17" t="s">
        <v>7</v>
      </c>
      <c r="D13" s="377" t="s">
        <v>288</v>
      </c>
      <c r="E13" s="371" t="s">
        <v>25</v>
      </c>
      <c r="F13" s="217">
        <f>100-(631000*100/736000)+100</f>
        <v>114.26630434782609</v>
      </c>
      <c r="G13" s="217">
        <f>100-(683023*100/751502)+100</f>
        <v>109.11228446497813</v>
      </c>
      <c r="H13" s="367">
        <f>IF(G13/F13*100&gt;100,100,G13/F13*100)</f>
        <v>95.48946654723413</v>
      </c>
      <c r="I13" s="50"/>
      <c r="J13" s="632" t="s">
        <v>37</v>
      </c>
      <c r="K13" s="633" t="s">
        <v>213</v>
      </c>
      <c r="L13" s="634" t="s">
        <v>38</v>
      </c>
      <c r="M13" s="635">
        <v>736000</v>
      </c>
      <c r="N13" s="635">
        <v>751502</v>
      </c>
      <c r="O13" s="636">
        <f t="shared" ref="O13:O75" si="0">IF(N13/M13*100&gt;110,110,N13/M13*100)</f>
        <v>102.10625</v>
      </c>
      <c r="P13" s="637"/>
      <c r="Q13" s="638"/>
      <c r="R13" s="630"/>
      <c r="S13" s="631"/>
    </row>
    <row r="14" spans="1:21" ht="49.5" x14ac:dyDescent="0.25">
      <c r="A14" s="629"/>
      <c r="B14" s="630"/>
      <c r="C14" s="17" t="s">
        <v>8</v>
      </c>
      <c r="D14" s="377" t="s">
        <v>34</v>
      </c>
      <c r="E14" s="371" t="s">
        <v>25</v>
      </c>
      <c r="F14" s="218" t="s">
        <v>349</v>
      </c>
      <c r="G14" s="219">
        <v>0</v>
      </c>
      <c r="H14" s="367">
        <v>100</v>
      </c>
      <c r="I14" s="50"/>
      <c r="J14" s="632"/>
      <c r="K14" s="633"/>
      <c r="L14" s="634"/>
      <c r="M14" s="634"/>
      <c r="N14" s="634"/>
      <c r="O14" s="636" t="e">
        <f t="shared" si="0"/>
        <v>#DIV/0!</v>
      </c>
      <c r="P14" s="637"/>
      <c r="Q14" s="638"/>
      <c r="R14" s="630"/>
      <c r="S14" s="631"/>
    </row>
    <row r="15" spans="1:21" ht="33" x14ac:dyDescent="0.25">
      <c r="A15" s="629"/>
      <c r="B15" s="630"/>
      <c r="C15" s="30"/>
      <c r="D15" s="21" t="s">
        <v>6</v>
      </c>
      <c r="E15" s="30"/>
      <c r="F15" s="220"/>
      <c r="G15" s="221"/>
      <c r="H15" s="222"/>
      <c r="I15" s="7">
        <f>(H14+H13)/2</f>
        <v>97.744733273617072</v>
      </c>
      <c r="J15" s="355"/>
      <c r="K15" s="21" t="s">
        <v>6</v>
      </c>
      <c r="L15" s="355"/>
      <c r="M15" s="355"/>
      <c r="N15" s="355"/>
      <c r="O15" s="222"/>
      <c r="P15" s="7">
        <f>O13</f>
        <v>102.10625</v>
      </c>
      <c r="Q15" s="7">
        <f t="shared" ref="Q15" si="1">(I15+P15)/2</f>
        <v>99.925491636808545</v>
      </c>
      <c r="R15" s="355" t="s">
        <v>361</v>
      </c>
      <c r="S15" s="631"/>
      <c r="U15" s="180"/>
    </row>
    <row r="16" spans="1:21" s="13" customFormat="1" ht="49.5" x14ac:dyDescent="0.25">
      <c r="A16" s="629"/>
      <c r="B16" s="630"/>
      <c r="C16" s="354" t="s">
        <v>13</v>
      </c>
      <c r="D16" s="23" t="s">
        <v>221</v>
      </c>
      <c r="E16" s="369"/>
      <c r="F16" s="215"/>
      <c r="G16" s="215"/>
      <c r="H16" s="216"/>
      <c r="I16" s="49"/>
      <c r="J16" s="354" t="str">
        <f>C16</f>
        <v>II</v>
      </c>
      <c r="K16" s="22" t="str">
        <f>D16</f>
        <v>Библиографическая обработка документов и создание каталогов</v>
      </c>
      <c r="L16" s="354"/>
      <c r="M16" s="37"/>
      <c r="N16" s="37"/>
      <c r="O16" s="216"/>
      <c r="P16" s="39"/>
      <c r="Q16" s="353"/>
      <c r="R16" s="354"/>
      <c r="S16" s="631"/>
      <c r="T16" s="441"/>
      <c r="U16" s="270"/>
    </row>
    <row r="17" spans="1:21" ht="53.25" customHeight="1" x14ac:dyDescent="0.25">
      <c r="A17" s="629"/>
      <c r="B17" s="630"/>
      <c r="C17" s="17" t="s">
        <v>14</v>
      </c>
      <c r="D17" s="377" t="s">
        <v>289</v>
      </c>
      <c r="E17" s="371" t="s">
        <v>25</v>
      </c>
      <c r="F17" s="217">
        <f>100 -(189000*100/190000)+100</f>
        <v>100.52631578947368</v>
      </c>
      <c r="G17" s="217">
        <f>100-(191463*100/196157)+100</f>
        <v>102.39298113246022</v>
      </c>
      <c r="H17" s="367">
        <f>IF(G17/F17*100&gt;100,100,G17/F17*100)</f>
        <v>100</v>
      </c>
      <c r="I17" s="50"/>
      <c r="J17" s="17" t="str">
        <f>C17</f>
        <v>2.1.</v>
      </c>
      <c r="K17" s="361" t="s">
        <v>435</v>
      </c>
      <c r="L17" s="357" t="s">
        <v>41</v>
      </c>
      <c r="M17" s="223">
        <v>550000</v>
      </c>
      <c r="N17" s="223">
        <v>554126</v>
      </c>
      <c r="O17" s="367">
        <f t="shared" si="0"/>
        <v>100.75018181818183</v>
      </c>
      <c r="P17" s="39"/>
      <c r="Q17" s="353"/>
      <c r="R17" s="354"/>
      <c r="S17" s="631"/>
    </row>
    <row r="18" spans="1:21" ht="53.25" customHeight="1" x14ac:dyDescent="0.25">
      <c r="A18" s="629"/>
      <c r="B18" s="630"/>
      <c r="C18" s="17" t="s">
        <v>15</v>
      </c>
      <c r="D18" s="377" t="s">
        <v>434</v>
      </c>
      <c r="E18" s="371" t="s">
        <v>25</v>
      </c>
      <c r="F18" s="366">
        <f>550000*100/775000</f>
        <v>70.967741935483872</v>
      </c>
      <c r="G18" s="366">
        <f>554126*100/779875</f>
        <v>71.053181599615328</v>
      </c>
      <c r="H18" s="367">
        <f>IF(G18/F18*100&gt;100,100,G18/F18*100)</f>
        <v>100</v>
      </c>
      <c r="I18" s="50"/>
      <c r="J18" s="17" t="s">
        <v>15</v>
      </c>
      <c r="K18" s="361" t="s">
        <v>436</v>
      </c>
      <c r="L18" s="175" t="s">
        <v>41</v>
      </c>
      <c r="M18" s="223">
        <v>775000</v>
      </c>
      <c r="N18" s="223">
        <v>779875</v>
      </c>
      <c r="O18" s="367">
        <f t="shared" si="0"/>
        <v>100.62903225806453</v>
      </c>
      <c r="P18" s="39"/>
      <c r="Q18" s="353"/>
      <c r="R18" s="354"/>
      <c r="S18" s="631"/>
    </row>
    <row r="19" spans="1:21" ht="36" customHeight="1" x14ac:dyDescent="0.25">
      <c r="A19" s="629"/>
      <c r="B19" s="630"/>
      <c r="C19" s="30"/>
      <c r="D19" s="21" t="s">
        <v>6</v>
      </c>
      <c r="E19" s="30"/>
      <c r="F19" s="220"/>
      <c r="G19" s="221"/>
      <c r="H19" s="222"/>
      <c r="I19" s="7">
        <f>(H18+H17)/2</f>
        <v>100</v>
      </c>
      <c r="J19" s="355"/>
      <c r="K19" s="21" t="s">
        <v>6</v>
      </c>
      <c r="L19" s="30"/>
      <c r="M19" s="103"/>
      <c r="N19" s="103"/>
      <c r="O19" s="222"/>
      <c r="P19" s="7">
        <f>(O18+O17)/2</f>
        <v>100.68960703812317</v>
      </c>
      <c r="Q19" s="7">
        <f>(I19+P19)/2</f>
        <v>100.34480351906159</v>
      </c>
      <c r="R19" s="355" t="s">
        <v>31</v>
      </c>
      <c r="S19" s="631"/>
    </row>
    <row r="20" spans="1:21" ht="65.25" customHeight="1" x14ac:dyDescent="0.25">
      <c r="A20" s="629" t="s">
        <v>68</v>
      </c>
      <c r="B20" s="630" t="s">
        <v>227</v>
      </c>
      <c r="C20" s="354" t="s">
        <v>12</v>
      </c>
      <c r="D20" s="23" t="s">
        <v>223</v>
      </c>
      <c r="E20" s="357"/>
      <c r="F20" s="218"/>
      <c r="G20" s="218"/>
      <c r="H20" s="216"/>
      <c r="I20" s="49"/>
      <c r="J20" s="354" t="s">
        <v>12</v>
      </c>
      <c r="K20" s="22" t="str">
        <f>D20</f>
        <v>Публичный показ музейных предметов, музейных коллекций</v>
      </c>
      <c r="L20" s="357"/>
      <c r="M20" s="38"/>
      <c r="N20" s="38"/>
      <c r="O20" s="216"/>
      <c r="P20" s="352"/>
      <c r="Q20" s="353"/>
      <c r="R20" s="354"/>
      <c r="S20" s="639" t="s">
        <v>280</v>
      </c>
    </row>
    <row r="21" spans="1:21" ht="82.5" x14ac:dyDescent="0.25">
      <c r="A21" s="629"/>
      <c r="B21" s="630"/>
      <c r="C21" s="357" t="s">
        <v>7</v>
      </c>
      <c r="D21" s="377" t="s">
        <v>290</v>
      </c>
      <c r="E21" s="357" t="s">
        <v>41</v>
      </c>
      <c r="F21" s="224">
        <v>3000</v>
      </c>
      <c r="G21" s="224">
        <v>3282</v>
      </c>
      <c r="H21" s="367">
        <f>IF(G21/F21*100&gt;100,100,G21/F21*100)</f>
        <v>100</v>
      </c>
      <c r="I21" s="51"/>
      <c r="J21" s="634" t="s">
        <v>7</v>
      </c>
      <c r="K21" s="633" t="s">
        <v>44</v>
      </c>
      <c r="L21" s="634" t="s">
        <v>38</v>
      </c>
      <c r="M21" s="635">
        <v>60130</v>
      </c>
      <c r="N21" s="635">
        <v>63250</v>
      </c>
      <c r="O21" s="640">
        <f t="shared" si="0"/>
        <v>105.18875769166804</v>
      </c>
      <c r="P21" s="641"/>
      <c r="Q21" s="638"/>
      <c r="R21" s="630"/>
      <c r="S21" s="639"/>
    </row>
    <row r="22" spans="1:21" ht="49.5" x14ac:dyDescent="0.25">
      <c r="A22" s="629"/>
      <c r="B22" s="630"/>
      <c r="C22" s="357" t="s">
        <v>8</v>
      </c>
      <c r="D22" s="377" t="s">
        <v>34</v>
      </c>
      <c r="E22" s="357" t="s">
        <v>25</v>
      </c>
      <c r="F22" s="218" t="s">
        <v>349</v>
      </c>
      <c r="G22" s="368">
        <v>0</v>
      </c>
      <c r="H22" s="367">
        <v>100</v>
      </c>
      <c r="I22" s="50"/>
      <c r="J22" s="634"/>
      <c r="K22" s="633"/>
      <c r="L22" s="634"/>
      <c r="M22" s="634"/>
      <c r="N22" s="634"/>
      <c r="O22" s="640" t="e">
        <f t="shared" si="0"/>
        <v>#DIV/0!</v>
      </c>
      <c r="P22" s="641"/>
      <c r="Q22" s="638"/>
      <c r="R22" s="630"/>
      <c r="S22" s="639"/>
    </row>
    <row r="23" spans="1:21" ht="33" x14ac:dyDescent="0.25">
      <c r="A23" s="629"/>
      <c r="B23" s="630"/>
      <c r="C23" s="30"/>
      <c r="D23" s="21" t="s">
        <v>6</v>
      </c>
      <c r="E23" s="30"/>
      <c r="F23" s="220"/>
      <c r="G23" s="221"/>
      <c r="H23" s="222"/>
      <c r="I23" s="7">
        <f>(H22+H21)/2</f>
        <v>100</v>
      </c>
      <c r="J23" s="355"/>
      <c r="K23" s="21" t="s">
        <v>6</v>
      </c>
      <c r="L23" s="355"/>
      <c r="M23" s="355"/>
      <c r="N23" s="355"/>
      <c r="O23" s="222"/>
      <c r="P23" s="7">
        <f>O21</f>
        <v>105.18875769166804</v>
      </c>
      <c r="Q23" s="7">
        <f t="shared" ref="Q23" si="2">(I23+P23)/2</f>
        <v>102.59437884583403</v>
      </c>
      <c r="R23" s="355" t="s">
        <v>31</v>
      </c>
      <c r="S23" s="639"/>
      <c r="U23" s="180"/>
    </row>
    <row r="24" spans="1:21" ht="56.25" customHeight="1" x14ac:dyDescent="0.25">
      <c r="A24" s="629"/>
      <c r="B24" s="630"/>
      <c r="C24" s="354" t="s">
        <v>13</v>
      </c>
      <c r="D24" s="23" t="s">
        <v>224</v>
      </c>
      <c r="E24" s="357"/>
      <c r="F24" s="224"/>
      <c r="G24" s="224"/>
      <c r="H24" s="216"/>
      <c r="I24" s="49"/>
      <c r="J24" s="354" t="str">
        <f>C24</f>
        <v>II</v>
      </c>
      <c r="K24" s="22" t="str">
        <f>D24</f>
        <v>Создание экспозиций (выставок) музеев, организация выездных выставок</v>
      </c>
      <c r="L24" s="357"/>
      <c r="M24" s="357"/>
      <c r="N24" s="357"/>
      <c r="O24" s="216"/>
      <c r="P24" s="49"/>
      <c r="Q24" s="353"/>
      <c r="R24" s="58"/>
      <c r="S24" s="639"/>
    </row>
    <row r="25" spans="1:21" ht="63.75" customHeight="1" x14ac:dyDescent="0.25">
      <c r="A25" s="629"/>
      <c r="B25" s="630"/>
      <c r="C25" s="357" t="s">
        <v>14</v>
      </c>
      <c r="D25" s="377" t="s">
        <v>350</v>
      </c>
      <c r="E25" s="357" t="s">
        <v>25</v>
      </c>
      <c r="F25" s="366">
        <f>105/104</f>
        <v>1.0096153846153846</v>
      </c>
      <c r="G25" s="366">
        <f>103/100</f>
        <v>1.03</v>
      </c>
      <c r="H25" s="367">
        <f>IF(G25/F25*100&gt;100,100,G25/F25*100)</f>
        <v>100</v>
      </c>
      <c r="I25" s="51"/>
      <c r="J25" s="357" t="str">
        <f t="shared" ref="J25:J31" si="3">C25</f>
        <v>2.1.</v>
      </c>
      <c r="K25" s="361" t="s">
        <v>228</v>
      </c>
      <c r="L25" s="357" t="s">
        <v>41</v>
      </c>
      <c r="M25" s="365">
        <v>107</v>
      </c>
      <c r="N25" s="365">
        <v>105</v>
      </c>
      <c r="O25" s="367">
        <f t="shared" si="0"/>
        <v>98.130841121495322</v>
      </c>
      <c r="P25" s="81"/>
      <c r="Q25" s="353"/>
      <c r="R25" s="354"/>
      <c r="S25" s="639"/>
    </row>
    <row r="26" spans="1:21" ht="33" x14ac:dyDescent="0.25">
      <c r="A26" s="629"/>
      <c r="B26" s="630"/>
      <c r="C26" s="30"/>
      <c r="D26" s="21" t="s">
        <v>6</v>
      </c>
      <c r="E26" s="30"/>
      <c r="F26" s="220"/>
      <c r="G26" s="221"/>
      <c r="H26" s="222"/>
      <c r="I26" s="7">
        <f>H25</f>
        <v>100</v>
      </c>
      <c r="J26" s="355"/>
      <c r="K26" s="21" t="s">
        <v>6</v>
      </c>
      <c r="L26" s="355"/>
      <c r="M26" s="355"/>
      <c r="N26" s="355"/>
      <c r="O26" s="222"/>
      <c r="P26" s="7">
        <f>O25</f>
        <v>98.130841121495322</v>
      </c>
      <c r="Q26" s="7">
        <f t="shared" ref="Q26" si="4">(I26+P26)/2</f>
        <v>99.065420560747668</v>
      </c>
      <c r="R26" s="355" t="s">
        <v>361</v>
      </c>
      <c r="S26" s="639"/>
      <c r="U26" s="180"/>
    </row>
    <row r="27" spans="1:21" ht="81.75" customHeight="1" x14ac:dyDescent="0.25">
      <c r="A27" s="629"/>
      <c r="B27" s="630"/>
      <c r="C27" s="354" t="s">
        <v>28</v>
      </c>
      <c r="D27" s="23" t="s">
        <v>225</v>
      </c>
      <c r="E27" s="357"/>
      <c r="F27" s="224"/>
      <c r="G27" s="224"/>
      <c r="H27" s="216"/>
      <c r="I27" s="49"/>
      <c r="J27" s="354" t="str">
        <f t="shared" si="3"/>
        <v>III</v>
      </c>
      <c r="K27" s="22" t="str">
        <f>D27</f>
        <v>Осуществление реставрации и консервации музейных предметов, музейных коллекций</v>
      </c>
      <c r="L27" s="357"/>
      <c r="M27" s="357"/>
      <c r="N27" s="357"/>
      <c r="O27" s="216"/>
      <c r="P27" s="49"/>
      <c r="Q27" s="353"/>
      <c r="R27" s="354"/>
      <c r="S27" s="639"/>
    </row>
    <row r="28" spans="1:21" ht="85.5" customHeight="1" x14ac:dyDescent="0.25">
      <c r="A28" s="629"/>
      <c r="B28" s="630"/>
      <c r="C28" s="357" t="s">
        <v>29</v>
      </c>
      <c r="D28" s="377" t="s">
        <v>351</v>
      </c>
      <c r="E28" s="357" t="s">
        <v>25</v>
      </c>
      <c r="F28" s="366">
        <v>3.87</v>
      </c>
      <c r="G28" s="366">
        <v>3.9</v>
      </c>
      <c r="H28" s="367">
        <f>IF(G28/F28*100&gt;100,100,G28/F28*100)</f>
        <v>100</v>
      </c>
      <c r="I28" s="51"/>
      <c r="J28" s="357" t="str">
        <f t="shared" si="3"/>
        <v>3.1.</v>
      </c>
      <c r="K28" s="361" t="s">
        <v>229</v>
      </c>
      <c r="L28" s="357" t="s">
        <v>41</v>
      </c>
      <c r="M28" s="365">
        <v>182</v>
      </c>
      <c r="N28" s="365">
        <v>182</v>
      </c>
      <c r="O28" s="367">
        <f t="shared" si="0"/>
        <v>100</v>
      </c>
      <c r="P28" s="81"/>
      <c r="Q28" s="353"/>
      <c r="R28" s="354"/>
      <c r="S28" s="639"/>
    </row>
    <row r="29" spans="1:21" ht="33" x14ac:dyDescent="0.25">
      <c r="A29" s="629"/>
      <c r="B29" s="630"/>
      <c r="C29" s="30"/>
      <c r="D29" s="21" t="s">
        <v>6</v>
      </c>
      <c r="E29" s="30"/>
      <c r="F29" s="220"/>
      <c r="G29" s="221"/>
      <c r="H29" s="222"/>
      <c r="I29" s="7">
        <f>H28</f>
        <v>100</v>
      </c>
      <c r="J29" s="355"/>
      <c r="K29" s="21" t="s">
        <v>6</v>
      </c>
      <c r="L29" s="355"/>
      <c r="M29" s="355"/>
      <c r="N29" s="355"/>
      <c r="O29" s="222"/>
      <c r="P29" s="7">
        <f>O28</f>
        <v>100</v>
      </c>
      <c r="Q29" s="7">
        <f t="shared" ref="Q29" si="5">(I29+P29)/2</f>
        <v>100</v>
      </c>
      <c r="R29" s="355" t="s">
        <v>31</v>
      </c>
      <c r="S29" s="639"/>
      <c r="U29" s="180"/>
    </row>
    <row r="30" spans="1:21" ht="94.5" customHeight="1" x14ac:dyDescent="0.25">
      <c r="A30" s="629"/>
      <c r="B30" s="630"/>
      <c r="C30" s="354" t="s">
        <v>42</v>
      </c>
      <c r="D30" s="23" t="s">
        <v>226</v>
      </c>
      <c r="E30" s="357"/>
      <c r="F30" s="218"/>
      <c r="G30" s="218"/>
      <c r="H30" s="216"/>
      <c r="I30" s="49"/>
      <c r="J30" s="354" t="str">
        <f t="shared" si="3"/>
        <v>IV</v>
      </c>
      <c r="K30" s="22" t="str">
        <f>D30</f>
        <v>Формирование, учет, изучение, обеспечение физического сохранения и безопасности музейных предметов, музейных коллекций</v>
      </c>
      <c r="L30" s="357"/>
      <c r="M30" s="38"/>
      <c r="N30" s="38"/>
      <c r="O30" s="216"/>
      <c r="P30" s="352"/>
      <c r="Q30" s="353"/>
      <c r="R30" s="58"/>
      <c r="S30" s="639"/>
    </row>
    <row r="31" spans="1:21" ht="79.5" customHeight="1" x14ac:dyDescent="0.25">
      <c r="A31" s="629"/>
      <c r="B31" s="630"/>
      <c r="C31" s="357" t="s">
        <v>43</v>
      </c>
      <c r="D31" s="377" t="s">
        <v>352</v>
      </c>
      <c r="E31" s="357" t="s">
        <v>25</v>
      </c>
      <c r="F31" s="366">
        <v>57.7</v>
      </c>
      <c r="G31" s="366">
        <v>62</v>
      </c>
      <c r="H31" s="367">
        <f>IF(G31/F31*100&gt;100,100,G31/F31*100)</f>
        <v>100</v>
      </c>
      <c r="I31" s="51"/>
      <c r="J31" s="357" t="str">
        <f t="shared" si="3"/>
        <v>4.1.</v>
      </c>
      <c r="K31" s="361" t="s">
        <v>230</v>
      </c>
      <c r="L31" s="357" t="s">
        <v>41</v>
      </c>
      <c r="M31" s="365">
        <v>79729</v>
      </c>
      <c r="N31" s="365">
        <v>79242</v>
      </c>
      <c r="O31" s="367">
        <f t="shared" si="0"/>
        <v>99.389180850129804</v>
      </c>
      <c r="P31" s="81"/>
      <c r="Q31" s="353"/>
      <c r="R31" s="354"/>
      <c r="S31" s="639"/>
    </row>
    <row r="32" spans="1:21" ht="44.25" customHeight="1" x14ac:dyDescent="0.25">
      <c r="A32" s="629"/>
      <c r="B32" s="630"/>
      <c r="C32" s="30"/>
      <c r="D32" s="21" t="s">
        <v>6</v>
      </c>
      <c r="E32" s="30"/>
      <c r="F32" s="225"/>
      <c r="G32" s="225"/>
      <c r="H32" s="222"/>
      <c r="I32" s="7">
        <f>H31</f>
        <v>100</v>
      </c>
      <c r="J32" s="355"/>
      <c r="K32" s="21" t="s">
        <v>6</v>
      </c>
      <c r="L32" s="355"/>
      <c r="M32" s="355"/>
      <c r="N32" s="355"/>
      <c r="O32" s="222"/>
      <c r="P32" s="7">
        <f>O31</f>
        <v>99.389180850129804</v>
      </c>
      <c r="Q32" s="7">
        <f t="shared" ref="Q32" si="6">(I32+P32)/2</f>
        <v>99.694590425064902</v>
      </c>
      <c r="R32" s="355" t="s">
        <v>361</v>
      </c>
      <c r="S32" s="639"/>
    </row>
    <row r="33" spans="1:21" ht="39" customHeight="1" x14ac:dyDescent="0.25">
      <c r="A33" s="629" t="s">
        <v>69</v>
      </c>
      <c r="B33" s="630" t="s">
        <v>231</v>
      </c>
      <c r="C33" s="354" t="s">
        <v>12</v>
      </c>
      <c r="D33" s="23" t="s">
        <v>411</v>
      </c>
      <c r="E33" s="354"/>
      <c r="F33" s="215"/>
      <c r="G33" s="215"/>
      <c r="H33" s="216"/>
      <c r="I33" s="49"/>
      <c r="J33" s="354" t="s">
        <v>12</v>
      </c>
      <c r="K33" s="22" t="str">
        <f>D33</f>
        <v>Показ кинофильмов (услуга платная)</v>
      </c>
      <c r="L33" s="357"/>
      <c r="M33" s="38"/>
      <c r="N33" s="38"/>
      <c r="O33" s="216"/>
      <c r="P33" s="39"/>
      <c r="Q33" s="353"/>
      <c r="R33" s="354"/>
      <c r="S33" s="639" t="s">
        <v>280</v>
      </c>
    </row>
    <row r="34" spans="1:21" ht="35.25" customHeight="1" x14ac:dyDescent="0.25">
      <c r="A34" s="629"/>
      <c r="B34" s="642"/>
      <c r="C34" s="357" t="s">
        <v>7</v>
      </c>
      <c r="D34" s="377" t="s">
        <v>291</v>
      </c>
      <c r="E34" s="357" t="s">
        <v>25</v>
      </c>
      <c r="F34" s="366">
        <f>90000/5925/269*100</f>
        <v>5.6467930920897835</v>
      </c>
      <c r="G34" s="366">
        <f>(101404/5318/269)*100</f>
        <v>7.0885021201754297</v>
      </c>
      <c r="H34" s="367">
        <f>IF(G34/F34*100&gt;100,100,G34/F34*100)</f>
        <v>100</v>
      </c>
      <c r="I34" s="49"/>
      <c r="J34" s="357" t="s">
        <v>7</v>
      </c>
      <c r="K34" s="361" t="s">
        <v>232</v>
      </c>
      <c r="L34" s="357" t="s">
        <v>38</v>
      </c>
      <c r="M34" s="440">
        <v>90000</v>
      </c>
      <c r="N34" s="440">
        <v>101404</v>
      </c>
      <c r="O34" s="51">
        <f>IF(N34/M34*100&gt;110,110,N34/M34*100)</f>
        <v>110</v>
      </c>
      <c r="P34" s="39"/>
      <c r="Q34" s="49"/>
      <c r="R34" s="354"/>
      <c r="S34" s="639"/>
    </row>
    <row r="35" spans="1:21" s="40" customFormat="1" ht="74.25" customHeight="1" x14ac:dyDescent="0.25">
      <c r="A35" s="629"/>
      <c r="B35" s="642"/>
      <c r="C35" s="357" t="s">
        <v>8</v>
      </c>
      <c r="D35" s="377" t="s">
        <v>34</v>
      </c>
      <c r="E35" s="357" t="s">
        <v>25</v>
      </c>
      <c r="F35" s="218" t="s">
        <v>349</v>
      </c>
      <c r="G35" s="368">
        <v>0.05</v>
      </c>
      <c r="H35" s="367">
        <v>100</v>
      </c>
      <c r="I35" s="51"/>
      <c r="J35" s="354"/>
      <c r="K35" s="22"/>
      <c r="L35" s="357"/>
      <c r="M35" s="446"/>
      <c r="N35" s="446"/>
      <c r="O35" s="51"/>
      <c r="P35" s="39"/>
      <c r="Q35" s="49"/>
      <c r="R35" s="354"/>
      <c r="S35" s="639"/>
      <c r="T35" s="441"/>
      <c r="U35" s="441"/>
    </row>
    <row r="36" spans="1:21" ht="33" x14ac:dyDescent="0.25">
      <c r="A36" s="629"/>
      <c r="B36" s="642"/>
      <c r="C36" s="30"/>
      <c r="D36" s="21" t="s">
        <v>6</v>
      </c>
      <c r="E36" s="30"/>
      <c r="F36" s="220"/>
      <c r="G36" s="221"/>
      <c r="H36" s="222"/>
      <c r="I36" s="7">
        <f>(H35+H34)/2</f>
        <v>100</v>
      </c>
      <c r="J36" s="355"/>
      <c r="K36" s="21" t="s">
        <v>6</v>
      </c>
      <c r="L36" s="355"/>
      <c r="M36" s="355"/>
      <c r="N36" s="355"/>
      <c r="O36" s="222"/>
      <c r="P36" s="7">
        <f>O34</f>
        <v>110</v>
      </c>
      <c r="Q36" s="7">
        <f>(I36+P36)/2</f>
        <v>105</v>
      </c>
      <c r="R36" s="355" t="s">
        <v>31</v>
      </c>
      <c r="S36" s="639"/>
      <c r="U36" s="180"/>
    </row>
    <row r="37" spans="1:21" s="40" customFormat="1" ht="74.25" customHeight="1" x14ac:dyDescent="0.25">
      <c r="A37" s="629"/>
      <c r="B37" s="642"/>
      <c r="C37" s="354" t="s">
        <v>13</v>
      </c>
      <c r="D37" s="23" t="s">
        <v>412</v>
      </c>
      <c r="E37" s="354"/>
      <c r="F37" s="218"/>
      <c r="G37" s="218"/>
      <c r="H37" s="216"/>
      <c r="I37" s="49"/>
      <c r="J37" s="354" t="str">
        <f>C37</f>
        <v>II</v>
      </c>
      <c r="K37" s="22" t="str">
        <f>D37</f>
        <v>Показ кинофильмов (услуга бесплатная)</v>
      </c>
      <c r="L37" s="357"/>
      <c r="M37" s="357"/>
      <c r="N37" s="357"/>
      <c r="O37" s="216"/>
      <c r="P37" s="49"/>
      <c r="Q37" s="353"/>
      <c r="R37" s="354"/>
      <c r="S37" s="639"/>
      <c r="T37" s="441"/>
      <c r="U37" s="441"/>
    </row>
    <row r="38" spans="1:21" s="40" customFormat="1" ht="33" x14ac:dyDescent="0.25">
      <c r="A38" s="629"/>
      <c r="B38" s="642"/>
      <c r="C38" s="357" t="s">
        <v>14</v>
      </c>
      <c r="D38" s="377" t="s">
        <v>291</v>
      </c>
      <c r="E38" s="357" t="s">
        <v>25</v>
      </c>
      <c r="F38" s="226">
        <f>888/74/12*100</f>
        <v>100</v>
      </c>
      <c r="G38" s="226">
        <f>947/74/12*100</f>
        <v>106.64414414414414</v>
      </c>
      <c r="H38" s="367">
        <f>IF(G38/F38*100&gt;100,100,G38/F38*100)</f>
        <v>100</v>
      </c>
      <c r="I38" s="51"/>
      <c r="J38" s="357" t="str">
        <f>C38</f>
        <v>2.1.</v>
      </c>
      <c r="K38" s="361" t="s">
        <v>232</v>
      </c>
      <c r="L38" s="357" t="s">
        <v>38</v>
      </c>
      <c r="M38" s="365">
        <v>888</v>
      </c>
      <c r="N38" s="365">
        <v>947</v>
      </c>
      <c r="O38" s="367">
        <f t="shared" si="0"/>
        <v>106.64414414414414</v>
      </c>
      <c r="P38" s="352"/>
      <c r="Q38" s="353"/>
      <c r="R38" s="354"/>
      <c r="S38" s="639"/>
      <c r="T38" s="441"/>
      <c r="U38" s="441"/>
    </row>
    <row r="39" spans="1:21" s="40" customFormat="1" ht="49.5" x14ac:dyDescent="0.25">
      <c r="A39" s="629"/>
      <c r="B39" s="642"/>
      <c r="C39" s="357" t="s">
        <v>15</v>
      </c>
      <c r="D39" s="377" t="s">
        <v>34</v>
      </c>
      <c r="E39" s="357" t="s">
        <v>25</v>
      </c>
      <c r="F39" s="218" t="s">
        <v>349</v>
      </c>
      <c r="G39" s="368">
        <v>0.05</v>
      </c>
      <c r="H39" s="367">
        <v>100</v>
      </c>
      <c r="I39" s="51"/>
      <c r="J39" s="357"/>
      <c r="K39" s="361"/>
      <c r="L39" s="357"/>
      <c r="M39" s="357"/>
      <c r="N39" s="357"/>
      <c r="O39" s="367"/>
      <c r="P39" s="352"/>
      <c r="Q39" s="353"/>
      <c r="R39" s="354"/>
      <c r="S39" s="639"/>
      <c r="T39" s="441"/>
      <c r="U39" s="441"/>
    </row>
    <row r="40" spans="1:21" ht="33" x14ac:dyDescent="0.25">
      <c r="A40" s="629"/>
      <c r="B40" s="642"/>
      <c r="C40" s="30"/>
      <c r="D40" s="21" t="s">
        <v>6</v>
      </c>
      <c r="E40" s="30"/>
      <c r="F40" s="220"/>
      <c r="G40" s="221"/>
      <c r="H40" s="222"/>
      <c r="I40" s="7">
        <f>(H39+H38)/2</f>
        <v>100</v>
      </c>
      <c r="J40" s="355"/>
      <c r="K40" s="21" t="s">
        <v>6</v>
      </c>
      <c r="L40" s="355"/>
      <c r="M40" s="355"/>
      <c r="N40" s="355"/>
      <c r="O40" s="222"/>
      <c r="P40" s="7">
        <f>O38</f>
        <v>106.64414414414414</v>
      </c>
      <c r="Q40" s="7">
        <f t="shared" ref="Q40" si="7">(I40+P40)/2</f>
        <v>103.32207207207207</v>
      </c>
      <c r="R40" s="355" t="s">
        <v>31</v>
      </c>
      <c r="S40" s="639"/>
      <c r="U40" s="180"/>
    </row>
    <row r="41" spans="1:21" s="40" customFormat="1" ht="40.5" customHeight="1" x14ac:dyDescent="0.25">
      <c r="A41" s="629"/>
      <c r="B41" s="642"/>
      <c r="C41" s="354" t="s">
        <v>28</v>
      </c>
      <c r="D41" s="23" t="s">
        <v>65</v>
      </c>
      <c r="E41" s="354"/>
      <c r="F41" s="224"/>
      <c r="G41" s="224"/>
      <c r="H41" s="216"/>
      <c r="I41" s="49"/>
      <c r="J41" s="354" t="str">
        <f>C41</f>
        <v>III</v>
      </c>
      <c r="K41" s="22" t="str">
        <f>D41</f>
        <v>Организация деятельности клубных формирований</v>
      </c>
      <c r="L41" s="357"/>
      <c r="M41" s="357"/>
      <c r="N41" s="357"/>
      <c r="O41" s="216"/>
      <c r="P41" s="39"/>
      <c r="Q41" s="353"/>
      <c r="R41" s="354"/>
      <c r="S41" s="639"/>
      <c r="T41" s="441"/>
      <c r="U41" s="441"/>
    </row>
    <row r="42" spans="1:21" s="40" customFormat="1" ht="53.25" customHeight="1" x14ac:dyDescent="0.25">
      <c r="A42" s="629"/>
      <c r="B42" s="642"/>
      <c r="C42" s="634" t="s">
        <v>29</v>
      </c>
      <c r="D42" s="643" t="s">
        <v>353</v>
      </c>
      <c r="E42" s="634" t="s">
        <v>25</v>
      </c>
      <c r="F42" s="636">
        <f>33/33*100</f>
        <v>100</v>
      </c>
      <c r="G42" s="636">
        <f>33/33*100</f>
        <v>100</v>
      </c>
      <c r="H42" s="640">
        <f>IF(G42/F42*100&gt;100,100,G42/F42*100)</f>
        <v>100</v>
      </c>
      <c r="I42" s="638"/>
      <c r="J42" s="357" t="str">
        <f>C42</f>
        <v>3.1.</v>
      </c>
      <c r="K42" s="361" t="s">
        <v>233</v>
      </c>
      <c r="L42" s="357" t="s">
        <v>41</v>
      </c>
      <c r="M42" s="365">
        <v>1</v>
      </c>
      <c r="N42" s="365">
        <v>1</v>
      </c>
      <c r="O42" s="367">
        <f t="shared" si="0"/>
        <v>100</v>
      </c>
      <c r="P42" s="39"/>
      <c r="Q42" s="353"/>
      <c r="R42" s="354"/>
      <c r="S42" s="639"/>
      <c r="T42" s="441"/>
      <c r="U42" s="441"/>
    </row>
    <row r="43" spans="1:21" s="40" customFormat="1" ht="53.25" customHeight="1" x14ac:dyDescent="0.25">
      <c r="A43" s="629"/>
      <c r="B43" s="642"/>
      <c r="C43" s="634"/>
      <c r="D43" s="643"/>
      <c r="E43" s="634"/>
      <c r="F43" s="636">
        <f>33/33*100</f>
        <v>100</v>
      </c>
      <c r="G43" s="636">
        <f>33/33*100</f>
        <v>100</v>
      </c>
      <c r="H43" s="640">
        <f>IF(G43/F43*100&gt;100,100,G43/F43*100)</f>
        <v>100</v>
      </c>
      <c r="I43" s="638"/>
      <c r="J43" s="70" t="s">
        <v>30</v>
      </c>
      <c r="K43" s="361" t="s">
        <v>269</v>
      </c>
      <c r="L43" s="357" t="s">
        <v>38</v>
      </c>
      <c r="M43" s="365">
        <v>33</v>
      </c>
      <c r="N43" s="365">
        <v>33</v>
      </c>
      <c r="O43" s="367">
        <f t="shared" si="0"/>
        <v>100</v>
      </c>
      <c r="P43" s="39"/>
      <c r="Q43" s="353"/>
      <c r="R43" s="354"/>
      <c r="S43" s="639"/>
      <c r="T43" s="441"/>
      <c r="U43" s="441"/>
    </row>
    <row r="44" spans="1:21" ht="33" x14ac:dyDescent="0.25">
      <c r="A44" s="629"/>
      <c r="B44" s="642"/>
      <c r="C44" s="30"/>
      <c r="D44" s="21" t="s">
        <v>6</v>
      </c>
      <c r="E44" s="30"/>
      <c r="F44" s="220"/>
      <c r="G44" s="221"/>
      <c r="H44" s="222"/>
      <c r="I44" s="7">
        <f>H42</f>
        <v>100</v>
      </c>
      <c r="J44" s="355"/>
      <c r="K44" s="21" t="s">
        <v>6</v>
      </c>
      <c r="L44" s="355"/>
      <c r="M44" s="355"/>
      <c r="N44" s="355"/>
      <c r="O44" s="222"/>
      <c r="P44" s="7">
        <f>(O43+O42)/2</f>
        <v>100</v>
      </c>
      <c r="Q44" s="7">
        <f t="shared" ref="Q44" si="8">(I44+P44)/2</f>
        <v>100</v>
      </c>
      <c r="R44" s="355" t="s">
        <v>31</v>
      </c>
      <c r="S44" s="639"/>
      <c r="U44" s="180"/>
    </row>
    <row r="45" spans="1:21" s="40" customFormat="1" ht="53.25" customHeight="1" x14ac:dyDescent="0.25">
      <c r="A45" s="629"/>
      <c r="B45" s="642"/>
      <c r="C45" s="354" t="s">
        <v>42</v>
      </c>
      <c r="D45" s="23" t="s">
        <v>292</v>
      </c>
      <c r="E45" s="354"/>
      <c r="F45" s="215"/>
      <c r="G45" s="215"/>
      <c r="H45" s="216"/>
      <c r="I45" s="49"/>
      <c r="J45" s="354" t="str">
        <f>C45</f>
        <v>IV</v>
      </c>
      <c r="K45" s="22" t="str">
        <f>D45</f>
        <v>Работа по формированию и учету фондов фильмофонда</v>
      </c>
      <c r="L45" s="357"/>
      <c r="M45" s="357"/>
      <c r="N45" s="357"/>
      <c r="O45" s="216"/>
      <c r="P45" s="39"/>
      <c r="Q45" s="353"/>
      <c r="R45" s="58"/>
      <c r="S45" s="639"/>
      <c r="T45" s="441"/>
      <c r="U45" s="441"/>
    </row>
    <row r="46" spans="1:21" s="40" customFormat="1" ht="57.75" customHeight="1" x14ac:dyDescent="0.25">
      <c r="A46" s="629"/>
      <c r="B46" s="642"/>
      <c r="C46" s="357" t="s">
        <v>43</v>
      </c>
      <c r="D46" s="377" t="s">
        <v>437</v>
      </c>
      <c r="E46" s="357" t="s">
        <v>25</v>
      </c>
      <c r="F46" s="226">
        <f>38/3407*100</f>
        <v>1.1153507484590548</v>
      </c>
      <c r="G46" s="226">
        <f>38/3407*100</f>
        <v>1.1153507484590548</v>
      </c>
      <c r="H46" s="367">
        <f>IF(G46/F46*100&gt;100,100,G46/F46*100)</f>
        <v>100</v>
      </c>
      <c r="I46" s="51"/>
      <c r="J46" s="357" t="str">
        <f>C46</f>
        <v>4.1.</v>
      </c>
      <c r="K46" s="361" t="s">
        <v>578</v>
      </c>
      <c r="L46" s="357" t="s">
        <v>41</v>
      </c>
      <c r="M46" s="365">
        <v>3407</v>
      </c>
      <c r="N46" s="365">
        <v>3407</v>
      </c>
      <c r="O46" s="367">
        <f t="shared" si="0"/>
        <v>100</v>
      </c>
      <c r="P46" s="39"/>
      <c r="Q46" s="353"/>
      <c r="R46" s="354"/>
      <c r="S46" s="639"/>
      <c r="T46" s="441"/>
      <c r="U46" s="441"/>
    </row>
    <row r="47" spans="1:21" ht="33" x14ac:dyDescent="0.25">
      <c r="A47" s="629"/>
      <c r="B47" s="642"/>
      <c r="C47" s="30"/>
      <c r="D47" s="21" t="s">
        <v>6</v>
      </c>
      <c r="E47" s="30"/>
      <c r="F47" s="220"/>
      <c r="G47" s="221"/>
      <c r="H47" s="222"/>
      <c r="I47" s="7">
        <f>H46</f>
        <v>100</v>
      </c>
      <c r="J47" s="355"/>
      <c r="K47" s="21" t="s">
        <v>6</v>
      </c>
      <c r="L47" s="355"/>
      <c r="M47" s="355"/>
      <c r="N47" s="355"/>
      <c r="O47" s="222"/>
      <c r="P47" s="7">
        <f>O46</f>
        <v>100</v>
      </c>
      <c r="Q47" s="7">
        <f t="shared" ref="Q47" si="9">(I47+P47)/2</f>
        <v>100</v>
      </c>
      <c r="R47" s="355" t="s">
        <v>31</v>
      </c>
      <c r="S47" s="639"/>
      <c r="U47" s="180"/>
    </row>
    <row r="48" spans="1:21" s="40" customFormat="1" ht="80.25" customHeight="1" x14ac:dyDescent="0.25">
      <c r="A48" s="629"/>
      <c r="B48" s="642"/>
      <c r="C48" s="354" t="s">
        <v>164</v>
      </c>
      <c r="D48" s="23" t="s">
        <v>299</v>
      </c>
      <c r="E48" s="354"/>
      <c r="F48" s="215"/>
      <c r="G48" s="215"/>
      <c r="H48" s="216"/>
      <c r="I48" s="49"/>
      <c r="J48" s="354" t="str">
        <f>C48</f>
        <v>V</v>
      </c>
      <c r="K48" s="22" t="str">
        <f>D48</f>
        <v>Организация и проведение культурно-массовых мероприятий творческих (фестиваль, выставка, конкурс, смотр )</v>
      </c>
      <c r="L48" s="357"/>
      <c r="M48" s="38"/>
      <c r="N48" s="38"/>
      <c r="O48" s="216"/>
      <c r="P48" s="39"/>
      <c r="Q48" s="353"/>
      <c r="R48" s="58"/>
      <c r="S48" s="639"/>
      <c r="T48" s="441"/>
      <c r="U48" s="441"/>
    </row>
    <row r="49" spans="1:21" s="40" customFormat="1" ht="35.25" customHeight="1" x14ac:dyDescent="0.25">
      <c r="A49" s="629"/>
      <c r="B49" s="642"/>
      <c r="C49" s="634" t="s">
        <v>165</v>
      </c>
      <c r="D49" s="643" t="s">
        <v>270</v>
      </c>
      <c r="E49" s="634" t="s">
        <v>41</v>
      </c>
      <c r="F49" s="645">
        <f>5/175075*1000</f>
        <v>2.8559188919034698E-2</v>
      </c>
      <c r="G49" s="645">
        <f>5/177847*1000</f>
        <v>2.8114053090577854E-2</v>
      </c>
      <c r="H49" s="640">
        <f>IF(G49/F49*100&gt;100,100,G49/F49*100)</f>
        <v>98.441356896658363</v>
      </c>
      <c r="I49" s="638"/>
      <c r="J49" s="357" t="s">
        <v>165</v>
      </c>
      <c r="K49" s="361" t="s">
        <v>193</v>
      </c>
      <c r="L49" s="357" t="s">
        <v>41</v>
      </c>
      <c r="M49" s="365">
        <v>5</v>
      </c>
      <c r="N49" s="365">
        <v>5</v>
      </c>
      <c r="O49" s="367">
        <f t="shared" si="0"/>
        <v>100</v>
      </c>
      <c r="P49" s="39"/>
      <c r="Q49" s="353"/>
      <c r="R49" s="354"/>
      <c r="S49" s="639"/>
      <c r="T49" s="441"/>
      <c r="U49" s="441"/>
    </row>
    <row r="50" spans="1:21" s="40" customFormat="1" ht="46.5" customHeight="1" x14ac:dyDescent="0.25">
      <c r="A50" s="629"/>
      <c r="B50" s="642"/>
      <c r="C50" s="634"/>
      <c r="D50" s="643"/>
      <c r="E50" s="634"/>
      <c r="F50" s="645">
        <f>5/183865*1000</f>
        <v>2.7193865064041554E-2</v>
      </c>
      <c r="G50" s="645">
        <f>5/183865*1000</f>
        <v>2.7193865064041554E-2</v>
      </c>
      <c r="H50" s="640">
        <f>IF(G50/F50*100&gt;100,100,G50/F50*100)</f>
        <v>100</v>
      </c>
      <c r="I50" s="638"/>
      <c r="J50" s="357" t="s">
        <v>166</v>
      </c>
      <c r="K50" s="361" t="s">
        <v>293</v>
      </c>
      <c r="L50" s="357" t="s">
        <v>38</v>
      </c>
      <c r="M50" s="365">
        <v>1774</v>
      </c>
      <c r="N50" s="365">
        <v>1944</v>
      </c>
      <c r="O50" s="367">
        <f>IF(N50/M50*100&gt;110,110,N50/M50*100)</f>
        <v>109.58286358511837</v>
      </c>
      <c r="P50" s="39"/>
      <c r="Q50" s="353"/>
      <c r="R50" s="354"/>
      <c r="S50" s="639"/>
      <c r="T50" s="441"/>
      <c r="U50" s="441"/>
    </row>
    <row r="51" spans="1:21" ht="33" x14ac:dyDescent="0.25">
      <c r="A51" s="629"/>
      <c r="B51" s="642"/>
      <c r="C51" s="30"/>
      <c r="D51" s="21" t="s">
        <v>6</v>
      </c>
      <c r="E51" s="30"/>
      <c r="F51" s="220"/>
      <c r="G51" s="221"/>
      <c r="H51" s="222"/>
      <c r="I51" s="7">
        <f>H49</f>
        <v>98.441356896658363</v>
      </c>
      <c r="J51" s="355"/>
      <c r="K51" s="21" t="s">
        <v>6</v>
      </c>
      <c r="L51" s="355"/>
      <c r="M51" s="355"/>
      <c r="N51" s="355"/>
      <c r="O51" s="222"/>
      <c r="P51" s="7">
        <f>(O50+O49)/2</f>
        <v>104.79143179255919</v>
      </c>
      <c r="Q51" s="7">
        <f t="shared" ref="Q51" si="10">(I51+P51)/2</f>
        <v>101.61639434460878</v>
      </c>
      <c r="R51" s="355" t="s">
        <v>31</v>
      </c>
      <c r="S51" s="639"/>
      <c r="U51" s="180"/>
    </row>
    <row r="52" spans="1:21" s="40" customFormat="1" ht="94.5" customHeight="1" x14ac:dyDescent="0.25">
      <c r="A52" s="629"/>
      <c r="B52" s="642"/>
      <c r="C52" s="354" t="s">
        <v>170</v>
      </c>
      <c r="D52" s="23" t="s">
        <v>304</v>
      </c>
      <c r="E52" s="354"/>
      <c r="F52" s="215"/>
      <c r="G52" s="215"/>
      <c r="H52" s="216"/>
      <c r="I52" s="49"/>
      <c r="J52" s="354" t="str">
        <f>C52</f>
        <v>VI</v>
      </c>
      <c r="K52" s="22" t="str">
        <f>D52</f>
        <v>организация и проведение культурно-массовых мероприятий (иные зрелищные мероприятия)</v>
      </c>
      <c r="L52" s="357"/>
      <c r="M52" s="38"/>
      <c r="N52" s="38"/>
      <c r="O52" s="216"/>
      <c r="P52" s="39"/>
      <c r="Q52" s="353"/>
      <c r="R52" s="354"/>
      <c r="S52" s="639"/>
      <c r="T52" s="441"/>
      <c r="U52" s="441"/>
    </row>
    <row r="53" spans="1:21" s="40" customFormat="1" ht="48" customHeight="1" x14ac:dyDescent="0.25">
      <c r="A53" s="629"/>
      <c r="B53" s="642"/>
      <c r="C53" s="634" t="s">
        <v>171</v>
      </c>
      <c r="D53" s="643" t="s">
        <v>271</v>
      </c>
      <c r="E53" s="634" t="s">
        <v>41</v>
      </c>
      <c r="F53" s="644">
        <f>3/175075*1000</f>
        <v>1.7135513351420818E-2</v>
      </c>
      <c r="G53" s="644">
        <f>3/177847*1000</f>
        <v>1.6868431854346715E-2</v>
      </c>
      <c r="H53" s="640">
        <f>IF(G53/F53*100&gt;100,100,G53/F53*100)</f>
        <v>98.441356896658377</v>
      </c>
      <c r="I53" s="638"/>
      <c r="J53" s="357" t="str">
        <f>C53</f>
        <v>6.1.</v>
      </c>
      <c r="K53" s="361" t="s">
        <v>193</v>
      </c>
      <c r="L53" s="357" t="s">
        <v>41</v>
      </c>
      <c r="M53" s="227">
        <v>3</v>
      </c>
      <c r="N53" s="227">
        <v>3</v>
      </c>
      <c r="O53" s="367">
        <f t="shared" si="0"/>
        <v>100</v>
      </c>
      <c r="P53" s="39"/>
      <c r="Q53" s="353"/>
      <c r="R53" s="354"/>
      <c r="S53" s="639"/>
      <c r="T53" s="441"/>
      <c r="U53" s="441"/>
    </row>
    <row r="54" spans="1:21" s="40" customFormat="1" ht="37.5" customHeight="1" x14ac:dyDescent="0.25">
      <c r="A54" s="629"/>
      <c r="B54" s="642"/>
      <c r="C54" s="634"/>
      <c r="D54" s="643"/>
      <c r="E54" s="634"/>
      <c r="F54" s="644">
        <f>3/183865*1000</f>
        <v>1.6316319038424933E-2</v>
      </c>
      <c r="G54" s="644">
        <f>3/183865*1000</f>
        <v>1.6316319038424933E-2</v>
      </c>
      <c r="H54" s="640">
        <f>IF(G54/F54*100&gt;100,100,G54/F54*100)</f>
        <v>100</v>
      </c>
      <c r="I54" s="638"/>
      <c r="J54" s="357" t="s">
        <v>172</v>
      </c>
      <c r="K54" s="361" t="s">
        <v>293</v>
      </c>
      <c r="L54" s="357" t="s">
        <v>38</v>
      </c>
      <c r="M54" s="227">
        <v>1450</v>
      </c>
      <c r="N54" s="227">
        <v>1347</v>
      </c>
      <c r="O54" s="367">
        <f t="shared" si="0"/>
        <v>92.896551724137936</v>
      </c>
      <c r="P54" s="39"/>
      <c r="Q54" s="353"/>
      <c r="R54" s="354"/>
      <c r="S54" s="639"/>
      <c r="T54" s="441"/>
      <c r="U54" s="441"/>
    </row>
    <row r="55" spans="1:21" s="40" customFormat="1" ht="42" customHeight="1" x14ac:dyDescent="0.25">
      <c r="A55" s="629"/>
      <c r="B55" s="642"/>
      <c r="C55" s="30"/>
      <c r="D55" s="21" t="s">
        <v>6</v>
      </c>
      <c r="E55" s="30"/>
      <c r="F55" s="225"/>
      <c r="G55" s="225"/>
      <c r="H55" s="222"/>
      <c r="I55" s="7">
        <f>H53</f>
        <v>98.441356896658377</v>
      </c>
      <c r="J55" s="7"/>
      <c r="K55" s="21" t="s">
        <v>6</v>
      </c>
      <c r="L55" s="7"/>
      <c r="M55" s="7"/>
      <c r="N55" s="7"/>
      <c r="O55" s="222"/>
      <c r="P55" s="7">
        <f>(O54+O53)/2</f>
        <v>96.448275862068968</v>
      </c>
      <c r="Q55" s="7">
        <f>(I55+P55)/2</f>
        <v>97.444816379363672</v>
      </c>
      <c r="R55" s="355" t="s">
        <v>361</v>
      </c>
      <c r="S55" s="639"/>
      <c r="T55" s="441"/>
      <c r="U55" s="441"/>
    </row>
    <row r="56" spans="1:21" s="40" customFormat="1" ht="120.75" customHeight="1" x14ac:dyDescent="0.25">
      <c r="A56" s="629" t="s">
        <v>75</v>
      </c>
      <c r="B56" s="630" t="s">
        <v>294</v>
      </c>
      <c r="C56" s="354" t="s">
        <v>12</v>
      </c>
      <c r="D56" s="23" t="s">
        <v>301</v>
      </c>
      <c r="E56" s="357"/>
      <c r="F56" s="218"/>
      <c r="G56" s="218"/>
      <c r="H56" s="216"/>
      <c r="I56" s="49"/>
      <c r="J56" s="354" t="str">
        <f>C56</f>
        <v>I</v>
      </c>
      <c r="K56" s="22" t="str">
        <f>D56</f>
        <v>Организация и проведение мероприятий - Культурно-массовых (услуга платная)</v>
      </c>
      <c r="L56" s="357"/>
      <c r="M56" s="38"/>
      <c r="N56" s="38"/>
      <c r="O56" s="353"/>
      <c r="P56" s="49"/>
      <c r="Q56" s="353"/>
      <c r="R56" s="354"/>
      <c r="S56" s="639" t="s">
        <v>280</v>
      </c>
      <c r="T56" s="441"/>
      <c r="U56" s="441"/>
    </row>
    <row r="57" spans="1:21" ht="16.5" x14ac:dyDescent="0.25">
      <c r="A57" s="629"/>
      <c r="B57" s="630"/>
      <c r="C57" s="357" t="s">
        <v>7</v>
      </c>
      <c r="D57" s="377" t="s">
        <v>302</v>
      </c>
      <c r="E57" s="357" t="s">
        <v>25</v>
      </c>
      <c r="F57" s="423">
        <f>((13700*100)/13700)</f>
        <v>100</v>
      </c>
      <c r="G57" s="423">
        <f>((12440*100/13700))</f>
        <v>90.802919708029194</v>
      </c>
      <c r="H57" s="367">
        <f>IF(G57/F57*100&gt;100,100,G57/F57*100)</f>
        <v>90.802919708029194</v>
      </c>
      <c r="I57" s="51"/>
      <c r="J57" s="357" t="s">
        <v>7</v>
      </c>
      <c r="K57" s="361" t="s">
        <v>297</v>
      </c>
      <c r="L57" s="357" t="s">
        <v>38</v>
      </c>
      <c r="M57" s="365">
        <v>13700</v>
      </c>
      <c r="N57" s="365">
        <v>12440</v>
      </c>
      <c r="O57" s="358">
        <f t="shared" si="0"/>
        <v>90.802919708029194</v>
      </c>
      <c r="P57" s="49"/>
      <c r="Q57" s="353"/>
      <c r="R57" s="354"/>
      <c r="S57" s="639"/>
    </row>
    <row r="58" spans="1:21" ht="16.5" x14ac:dyDescent="0.25">
      <c r="A58" s="629"/>
      <c r="B58" s="630"/>
      <c r="C58" s="357" t="s">
        <v>8</v>
      </c>
      <c r="D58" s="377" t="s">
        <v>295</v>
      </c>
      <c r="E58" s="357" t="s">
        <v>25</v>
      </c>
      <c r="F58" s="423">
        <f>((40*100/40))</f>
        <v>100</v>
      </c>
      <c r="G58" s="423">
        <f>43/40*100</f>
        <v>107.5</v>
      </c>
      <c r="H58" s="367">
        <f>IF(G58/F58*100&gt;100,100,G58/F58*100)</f>
        <v>100</v>
      </c>
      <c r="I58" s="51"/>
      <c r="J58" s="357" t="s">
        <v>8</v>
      </c>
      <c r="K58" s="361" t="s">
        <v>193</v>
      </c>
      <c r="L58" s="357" t="s">
        <v>41</v>
      </c>
      <c r="M58" s="365">
        <v>40</v>
      </c>
      <c r="N58" s="365">
        <v>43</v>
      </c>
      <c r="O58" s="358">
        <f t="shared" si="0"/>
        <v>107.5</v>
      </c>
      <c r="P58" s="49"/>
      <c r="Q58" s="353"/>
      <c r="R58" s="354"/>
      <c r="S58" s="639"/>
    </row>
    <row r="59" spans="1:21" ht="69" customHeight="1" x14ac:dyDescent="0.25">
      <c r="A59" s="629"/>
      <c r="B59" s="630"/>
      <c r="C59" s="357" t="s">
        <v>9</v>
      </c>
      <c r="D59" s="377" t="s">
        <v>34</v>
      </c>
      <c r="E59" s="357" t="s">
        <v>25</v>
      </c>
      <c r="F59" s="218" t="s">
        <v>349</v>
      </c>
      <c r="G59" s="228">
        <v>0</v>
      </c>
      <c r="H59" s="367">
        <v>100</v>
      </c>
      <c r="I59" s="51"/>
      <c r="J59" s="357"/>
      <c r="K59" s="361"/>
      <c r="L59" s="357"/>
      <c r="M59" s="357"/>
      <c r="N59" s="357"/>
      <c r="O59" s="358"/>
      <c r="P59" s="49"/>
      <c r="Q59" s="353"/>
      <c r="R59" s="354"/>
      <c r="S59" s="639"/>
    </row>
    <row r="60" spans="1:21" s="16" customFormat="1" ht="33" x14ac:dyDescent="0.25">
      <c r="A60" s="629"/>
      <c r="B60" s="630"/>
      <c r="C60" s="171"/>
      <c r="D60" s="21" t="s">
        <v>6</v>
      </c>
      <c r="E60" s="30"/>
      <c r="F60" s="229"/>
      <c r="G60" s="230"/>
      <c r="H60" s="222"/>
      <c r="I60" s="7">
        <f>(H57+H58+H59)/3</f>
        <v>96.934306569343065</v>
      </c>
      <c r="J60" s="30"/>
      <c r="K60" s="21" t="s">
        <v>6</v>
      </c>
      <c r="L60" s="30"/>
      <c r="M60" s="101"/>
      <c r="N60" s="101"/>
      <c r="O60" s="7"/>
      <c r="P60" s="7">
        <f>(O57+O58)/2</f>
        <v>99.151459854014604</v>
      </c>
      <c r="Q60" s="7">
        <f>(I60+P60)/2</f>
        <v>98.042883211678827</v>
      </c>
      <c r="R60" s="355" t="s">
        <v>361</v>
      </c>
      <c r="S60" s="639"/>
      <c r="T60" s="441"/>
      <c r="U60" s="180"/>
    </row>
    <row r="61" spans="1:21" ht="58.5" customHeight="1" x14ac:dyDescent="0.25">
      <c r="A61" s="629"/>
      <c r="B61" s="630"/>
      <c r="C61" s="354" t="s">
        <v>13</v>
      </c>
      <c r="D61" s="23" t="s">
        <v>65</v>
      </c>
      <c r="E61" s="357"/>
      <c r="F61" s="218"/>
      <c r="G61" s="218"/>
      <c r="H61" s="216"/>
      <c r="I61" s="49"/>
      <c r="J61" s="354" t="str">
        <f>C61</f>
        <v>II</v>
      </c>
      <c r="K61" s="22" t="str">
        <f>D61</f>
        <v>Организация деятельности клубных формирований</v>
      </c>
      <c r="L61" s="357"/>
      <c r="M61" s="357"/>
      <c r="N61" s="357"/>
      <c r="O61" s="49"/>
      <c r="P61" s="49"/>
      <c r="Q61" s="353"/>
      <c r="R61" s="354"/>
      <c r="S61" s="639"/>
    </row>
    <row r="62" spans="1:21" ht="49.5" customHeight="1" x14ac:dyDescent="0.25">
      <c r="A62" s="629"/>
      <c r="B62" s="630"/>
      <c r="C62" s="357" t="s">
        <v>14</v>
      </c>
      <c r="D62" s="377" t="s">
        <v>303</v>
      </c>
      <c r="E62" s="357" t="s">
        <v>25</v>
      </c>
      <c r="F62" s="366">
        <f>1200/1200*100</f>
        <v>100</v>
      </c>
      <c r="G62" s="366">
        <f>1133/1200*100</f>
        <v>94.416666666666671</v>
      </c>
      <c r="H62" s="367">
        <f>IF(G62/F62*100&gt;100,100,G62/F62*100)</f>
        <v>94.416666666666671</v>
      </c>
      <c r="I62" s="49"/>
      <c r="J62" s="357" t="str">
        <f t="shared" ref="J62:J69" si="11">C62</f>
        <v>2.1.</v>
      </c>
      <c r="K62" s="361" t="s">
        <v>233</v>
      </c>
      <c r="L62" s="357" t="s">
        <v>41</v>
      </c>
      <c r="M62" s="365">
        <v>35</v>
      </c>
      <c r="N62" s="365">
        <v>33</v>
      </c>
      <c r="O62" s="358">
        <f t="shared" si="0"/>
        <v>94.285714285714278</v>
      </c>
      <c r="P62" s="49"/>
      <c r="Q62" s="353"/>
      <c r="R62" s="354"/>
      <c r="S62" s="639"/>
    </row>
    <row r="63" spans="1:21" ht="90.75" customHeight="1" x14ac:dyDescent="0.25">
      <c r="A63" s="629"/>
      <c r="B63" s="630"/>
      <c r="C63" s="357" t="s">
        <v>15</v>
      </c>
      <c r="D63" s="377" t="s">
        <v>296</v>
      </c>
      <c r="E63" s="357" t="s">
        <v>25</v>
      </c>
      <c r="F63" s="231">
        <f>7/35*100</f>
        <v>20</v>
      </c>
      <c r="G63" s="366">
        <f>8/33*100</f>
        <v>24.242424242424242</v>
      </c>
      <c r="H63" s="367">
        <f>IF(G63/F63*100&gt;100,100,G63/F63*100)</f>
        <v>100</v>
      </c>
      <c r="I63" s="49"/>
      <c r="J63" s="357" t="s">
        <v>15</v>
      </c>
      <c r="K63" s="361" t="s">
        <v>298</v>
      </c>
      <c r="L63" s="357" t="s">
        <v>38</v>
      </c>
      <c r="M63" s="365">
        <v>1200</v>
      </c>
      <c r="N63" s="365">
        <v>1133</v>
      </c>
      <c r="O63" s="358">
        <f t="shared" si="0"/>
        <v>94.416666666666671</v>
      </c>
      <c r="P63" s="49"/>
      <c r="Q63" s="353"/>
      <c r="R63" s="354"/>
      <c r="S63" s="639"/>
    </row>
    <row r="64" spans="1:21" ht="33" x14ac:dyDescent="0.25">
      <c r="A64" s="629"/>
      <c r="B64" s="630"/>
      <c r="C64" s="30"/>
      <c r="D64" s="21" t="s">
        <v>6</v>
      </c>
      <c r="E64" s="30"/>
      <c r="F64" s="220"/>
      <c r="G64" s="221"/>
      <c r="H64" s="222"/>
      <c r="I64" s="7">
        <f>(H63+H62)/2</f>
        <v>97.208333333333343</v>
      </c>
      <c r="J64" s="355"/>
      <c r="K64" s="21" t="s">
        <v>6</v>
      </c>
      <c r="L64" s="355"/>
      <c r="M64" s="101"/>
      <c r="N64" s="101"/>
      <c r="O64" s="7"/>
      <c r="P64" s="7">
        <f>(O62+O63)/2</f>
        <v>94.351190476190482</v>
      </c>
      <c r="Q64" s="7">
        <f t="shared" ref="Q64" si="12">(I64+P64)/2</f>
        <v>95.779761904761912</v>
      </c>
      <c r="R64" s="355" t="s">
        <v>361</v>
      </c>
      <c r="S64" s="639"/>
      <c r="U64" s="180"/>
    </row>
    <row r="65" spans="1:21" ht="82.5" x14ac:dyDescent="0.25">
      <c r="A65" s="629"/>
      <c r="B65" s="630"/>
      <c r="C65" s="354" t="s">
        <v>28</v>
      </c>
      <c r="D65" s="23" t="s">
        <v>299</v>
      </c>
      <c r="E65" s="357"/>
      <c r="F65" s="224"/>
      <c r="G65" s="224"/>
      <c r="H65" s="216"/>
      <c r="I65" s="49"/>
      <c r="J65" s="354" t="str">
        <f t="shared" si="11"/>
        <v>III</v>
      </c>
      <c r="K65" s="22" t="s">
        <v>299</v>
      </c>
      <c r="L65" s="357"/>
      <c r="M65" s="365"/>
      <c r="N65" s="365"/>
      <c r="O65" s="353"/>
      <c r="P65" s="49"/>
      <c r="Q65" s="353"/>
      <c r="R65" s="354"/>
      <c r="S65" s="639"/>
    </row>
    <row r="66" spans="1:21" ht="42" customHeight="1" x14ac:dyDescent="0.25">
      <c r="A66" s="629"/>
      <c r="B66" s="630"/>
      <c r="C66" s="634" t="s">
        <v>29</v>
      </c>
      <c r="D66" s="643" t="s">
        <v>270</v>
      </c>
      <c r="E66" s="634" t="s">
        <v>38</v>
      </c>
      <c r="F66" s="644">
        <f>(19+39)/175075*1000</f>
        <v>0.33128659146080253</v>
      </c>
      <c r="G66" s="644">
        <f>57/177847*1000</f>
        <v>0.3205002052325876</v>
      </c>
      <c r="H66" s="640">
        <f>IF(G66/F66*100&gt;100,100,G66/F66*100)</f>
        <v>96.744092122578053</v>
      </c>
      <c r="I66" s="638"/>
      <c r="J66" s="357" t="s">
        <v>29</v>
      </c>
      <c r="K66" s="361" t="s">
        <v>193</v>
      </c>
      <c r="L66" s="357" t="s">
        <v>41</v>
      </c>
      <c r="M66" s="365">
        <v>58</v>
      </c>
      <c r="N66" s="365">
        <v>57</v>
      </c>
      <c r="O66" s="358">
        <f t="shared" si="0"/>
        <v>98.275862068965509</v>
      </c>
      <c r="P66" s="51"/>
      <c r="Q66" s="358"/>
      <c r="R66" s="354"/>
      <c r="S66" s="639"/>
    </row>
    <row r="67" spans="1:21" ht="35.25" customHeight="1" x14ac:dyDescent="0.25">
      <c r="A67" s="629"/>
      <c r="B67" s="630"/>
      <c r="C67" s="634"/>
      <c r="D67" s="643"/>
      <c r="E67" s="634"/>
      <c r="F67" s="644">
        <f>(38)/183865*1000</f>
        <v>0.2066733744867158</v>
      </c>
      <c r="G67" s="644">
        <f>38/183865*1000</f>
        <v>0.2066733744867158</v>
      </c>
      <c r="H67" s="640">
        <f>IF(G67/F67*100&gt;100,100,G67/F67*100)</f>
        <v>100</v>
      </c>
      <c r="I67" s="638"/>
      <c r="J67" s="357" t="s">
        <v>30</v>
      </c>
      <c r="K67" s="361" t="s">
        <v>300</v>
      </c>
      <c r="L67" s="357" t="s">
        <v>38</v>
      </c>
      <c r="M67" s="365">
        <v>87255</v>
      </c>
      <c r="N67" s="365">
        <v>83435</v>
      </c>
      <c r="O67" s="358">
        <f t="shared" si="0"/>
        <v>95.622027390980463</v>
      </c>
      <c r="P67" s="49"/>
      <c r="Q67" s="353"/>
      <c r="R67" s="354"/>
      <c r="S67" s="639"/>
    </row>
    <row r="68" spans="1:21" ht="33" x14ac:dyDescent="0.25">
      <c r="A68" s="629"/>
      <c r="B68" s="630"/>
      <c r="C68" s="30"/>
      <c r="D68" s="21" t="s">
        <v>6</v>
      </c>
      <c r="E68" s="30"/>
      <c r="F68" s="220"/>
      <c r="G68" s="221"/>
      <c r="H68" s="222"/>
      <c r="I68" s="7">
        <f>H66</f>
        <v>96.744092122578053</v>
      </c>
      <c r="J68" s="355"/>
      <c r="K68" s="21" t="s">
        <v>6</v>
      </c>
      <c r="L68" s="355"/>
      <c r="M68" s="101"/>
      <c r="N68" s="101"/>
      <c r="O68" s="7"/>
      <c r="P68" s="7">
        <f>(O66+O67)/2</f>
        <v>96.948944729972993</v>
      </c>
      <c r="Q68" s="7">
        <f t="shared" ref="Q68" si="13">(I68+P68)/2</f>
        <v>96.846518426275523</v>
      </c>
      <c r="R68" s="355" t="s">
        <v>361</v>
      </c>
      <c r="S68" s="639"/>
      <c r="U68" s="180"/>
    </row>
    <row r="69" spans="1:21" ht="66" x14ac:dyDescent="0.25">
      <c r="A69" s="629"/>
      <c r="B69" s="630"/>
      <c r="C69" s="354" t="s">
        <v>42</v>
      </c>
      <c r="D69" s="23" t="s">
        <v>304</v>
      </c>
      <c r="E69" s="354"/>
      <c r="F69" s="224"/>
      <c r="G69" s="224"/>
      <c r="H69" s="216"/>
      <c r="I69" s="49"/>
      <c r="J69" s="354" t="str">
        <f t="shared" si="11"/>
        <v>IV</v>
      </c>
      <c r="K69" s="22" t="str">
        <f>D69</f>
        <v>организация и проведение культурно-массовых мероприятий (иные зрелищные мероприятия)</v>
      </c>
      <c r="L69" s="357"/>
      <c r="M69" s="365"/>
      <c r="N69" s="365"/>
      <c r="O69" s="353"/>
      <c r="P69" s="49"/>
      <c r="Q69" s="353"/>
      <c r="R69" s="354"/>
      <c r="S69" s="639"/>
    </row>
    <row r="70" spans="1:21" s="59" customFormat="1" ht="43.5" customHeight="1" x14ac:dyDescent="0.25">
      <c r="A70" s="629"/>
      <c r="B70" s="630"/>
      <c r="C70" s="634" t="s">
        <v>43</v>
      </c>
      <c r="D70" s="643" t="s">
        <v>271</v>
      </c>
      <c r="E70" s="634" t="s">
        <v>41</v>
      </c>
      <c r="F70" s="636">
        <f>179/175075*1000</f>
        <v>1.0224189633014422</v>
      </c>
      <c r="G70" s="636">
        <f>201/177847*1000</f>
        <v>1.1301849342412298</v>
      </c>
      <c r="H70" s="640">
        <f>IF(G70/F70*100&gt;100,100,G70/F70*100)</f>
        <v>100</v>
      </c>
      <c r="I70" s="638"/>
      <c r="J70" s="357" t="str">
        <f>C70</f>
        <v>4.1.</v>
      </c>
      <c r="K70" s="361" t="s">
        <v>193</v>
      </c>
      <c r="L70" s="357" t="s">
        <v>41</v>
      </c>
      <c r="M70" s="365">
        <v>179</v>
      </c>
      <c r="N70" s="365">
        <v>201</v>
      </c>
      <c r="O70" s="358">
        <f t="shared" si="0"/>
        <v>110</v>
      </c>
      <c r="P70" s="51"/>
      <c r="Q70" s="358"/>
      <c r="R70" s="354"/>
      <c r="S70" s="639"/>
      <c r="T70" s="441"/>
      <c r="U70" s="444"/>
    </row>
    <row r="71" spans="1:21" s="59" customFormat="1" ht="38.25" customHeight="1" x14ac:dyDescent="0.25">
      <c r="A71" s="629"/>
      <c r="B71" s="630"/>
      <c r="C71" s="634"/>
      <c r="D71" s="643"/>
      <c r="E71" s="634"/>
      <c r="F71" s="636">
        <f>151/183865*1000</f>
        <v>0.82125472493405482</v>
      </c>
      <c r="G71" s="636">
        <f>151/183865*1000</f>
        <v>0.82125472493405482</v>
      </c>
      <c r="H71" s="640">
        <f>IF(G71/F71*100&gt;100,100,G71/F71*100)</f>
        <v>100</v>
      </c>
      <c r="I71" s="638"/>
      <c r="J71" s="357" t="s">
        <v>137</v>
      </c>
      <c r="K71" s="361" t="s">
        <v>300</v>
      </c>
      <c r="L71" s="357" t="s">
        <v>38</v>
      </c>
      <c r="M71" s="365">
        <v>111245</v>
      </c>
      <c r="N71" s="365">
        <v>109111</v>
      </c>
      <c r="O71" s="358">
        <f t="shared" si="0"/>
        <v>98.081711537597187</v>
      </c>
      <c r="P71" s="49"/>
      <c r="Q71" s="353"/>
      <c r="R71" s="354"/>
      <c r="S71" s="639"/>
      <c r="T71" s="441"/>
      <c r="U71" s="444"/>
    </row>
    <row r="72" spans="1:21" ht="45.75" customHeight="1" x14ac:dyDescent="0.25">
      <c r="A72" s="629"/>
      <c r="B72" s="630"/>
      <c r="C72" s="170"/>
      <c r="D72" s="21" t="s">
        <v>6</v>
      </c>
      <c r="E72" s="170"/>
      <c r="F72" s="232"/>
      <c r="G72" s="232"/>
      <c r="H72" s="233"/>
      <c r="I72" s="177">
        <f>H70</f>
        <v>100</v>
      </c>
      <c r="J72" s="7"/>
      <c r="K72" s="21" t="s">
        <v>6</v>
      </c>
      <c r="L72" s="7"/>
      <c r="M72" s="7"/>
      <c r="N72" s="7"/>
      <c r="O72" s="7"/>
      <c r="P72" s="7">
        <f>(O70+O71)/2</f>
        <v>104.04085576879859</v>
      </c>
      <c r="Q72" s="7">
        <f>(I72+P72)/2</f>
        <v>102.0204278843993</v>
      </c>
      <c r="R72" s="355" t="s">
        <v>31</v>
      </c>
      <c r="S72" s="639"/>
    </row>
    <row r="73" spans="1:21" ht="40.5" customHeight="1" x14ac:dyDescent="0.25">
      <c r="A73" s="629" t="s">
        <v>76</v>
      </c>
      <c r="B73" s="630" t="s">
        <v>234</v>
      </c>
      <c r="C73" s="373" t="s">
        <v>12</v>
      </c>
      <c r="D73" s="23" t="s">
        <v>411</v>
      </c>
      <c r="E73" s="354"/>
      <c r="F73" s="215"/>
      <c r="G73" s="215"/>
      <c r="H73" s="216"/>
      <c r="I73" s="49"/>
      <c r="J73" s="354" t="str">
        <f>C73</f>
        <v>I</v>
      </c>
      <c r="K73" s="22" t="str">
        <f>D73</f>
        <v>Показ кинофильмов (услуга платная)</v>
      </c>
      <c r="L73" s="357"/>
      <c r="M73" s="38"/>
      <c r="N73" s="38"/>
      <c r="O73" s="353"/>
      <c r="P73" s="39"/>
      <c r="Q73" s="49"/>
      <c r="R73" s="354"/>
      <c r="S73" s="639" t="s">
        <v>279</v>
      </c>
    </row>
    <row r="74" spans="1:21" ht="40.5" customHeight="1" x14ac:dyDescent="0.25">
      <c r="A74" s="629"/>
      <c r="B74" s="630"/>
      <c r="C74" s="357" t="s">
        <v>7</v>
      </c>
      <c r="D74" s="377" t="s">
        <v>291</v>
      </c>
      <c r="E74" s="357" t="s">
        <v>25</v>
      </c>
      <c r="F74" s="366">
        <f>(50000/1800/250)*100</f>
        <v>11.111111111111112</v>
      </c>
      <c r="G74" s="366">
        <f>(54087/1719/250)*100</f>
        <v>12.585689354275742</v>
      </c>
      <c r="H74" s="367">
        <f>IF(G74/F74*100&gt;100,100,G74/F74*100)</f>
        <v>100</v>
      </c>
      <c r="I74" s="49"/>
      <c r="J74" s="634" t="s">
        <v>7</v>
      </c>
      <c r="K74" s="633" t="s">
        <v>232</v>
      </c>
      <c r="L74" s="634" t="s">
        <v>38</v>
      </c>
      <c r="M74" s="635">
        <v>50000</v>
      </c>
      <c r="N74" s="635">
        <v>54087</v>
      </c>
      <c r="O74" s="646">
        <f t="shared" si="0"/>
        <v>108.17399999999999</v>
      </c>
      <c r="P74" s="637"/>
      <c r="Q74" s="638"/>
      <c r="R74" s="630"/>
      <c r="S74" s="639"/>
    </row>
    <row r="75" spans="1:21" ht="70.5" customHeight="1" x14ac:dyDescent="0.25">
      <c r="A75" s="629"/>
      <c r="B75" s="630"/>
      <c r="C75" s="357" t="s">
        <v>8</v>
      </c>
      <c r="D75" s="377" t="s">
        <v>34</v>
      </c>
      <c r="E75" s="357" t="s">
        <v>25</v>
      </c>
      <c r="F75" s="218" t="s">
        <v>349</v>
      </c>
      <c r="G75" s="424" t="s">
        <v>579</v>
      </c>
      <c r="H75" s="367">
        <v>100</v>
      </c>
      <c r="I75" s="51"/>
      <c r="J75" s="634"/>
      <c r="K75" s="633"/>
      <c r="L75" s="634"/>
      <c r="M75" s="635"/>
      <c r="N75" s="635"/>
      <c r="O75" s="646" t="e">
        <f t="shared" si="0"/>
        <v>#DIV/0!</v>
      </c>
      <c r="P75" s="637"/>
      <c r="Q75" s="638"/>
      <c r="R75" s="630"/>
      <c r="S75" s="639"/>
    </row>
    <row r="76" spans="1:21" ht="33" x14ac:dyDescent="0.25">
      <c r="A76" s="629"/>
      <c r="B76" s="630"/>
      <c r="C76" s="30"/>
      <c r="D76" s="21" t="s">
        <v>6</v>
      </c>
      <c r="E76" s="30"/>
      <c r="F76" s="220"/>
      <c r="G76" s="221"/>
      <c r="H76" s="222"/>
      <c r="I76" s="7">
        <f>(H75+H74)/2</f>
        <v>100</v>
      </c>
      <c r="J76" s="355"/>
      <c r="K76" s="21" t="s">
        <v>6</v>
      </c>
      <c r="L76" s="355"/>
      <c r="M76" s="234"/>
      <c r="N76" s="234"/>
      <c r="O76" s="7"/>
      <c r="P76" s="7">
        <f>O74</f>
        <v>108.17399999999999</v>
      </c>
      <c r="Q76" s="7">
        <f t="shared" ref="Q76" si="14">(I76+P76)/2</f>
        <v>104.08699999999999</v>
      </c>
      <c r="R76" s="355" t="s">
        <v>31</v>
      </c>
      <c r="S76" s="639"/>
      <c r="U76" s="180"/>
    </row>
    <row r="77" spans="1:21" s="40" customFormat="1" ht="40.5" customHeight="1" x14ac:dyDescent="0.25">
      <c r="A77" s="629"/>
      <c r="B77" s="630"/>
      <c r="C77" s="373" t="s">
        <v>13</v>
      </c>
      <c r="D77" s="23" t="s">
        <v>412</v>
      </c>
      <c r="E77" s="354"/>
      <c r="F77" s="215"/>
      <c r="G77" s="215"/>
      <c r="H77" s="216"/>
      <c r="I77" s="49"/>
      <c r="J77" s="354" t="str">
        <f>C77</f>
        <v>II</v>
      </c>
      <c r="K77" s="22" t="str">
        <f>D77</f>
        <v>Показ кинофильмов (услуга бесплатная)</v>
      </c>
      <c r="L77" s="357"/>
      <c r="M77" s="227"/>
      <c r="N77" s="227"/>
      <c r="O77" s="353"/>
      <c r="P77" s="39"/>
      <c r="Q77" s="49"/>
      <c r="R77" s="354"/>
      <c r="S77" s="639"/>
      <c r="T77" s="441"/>
      <c r="U77" s="441"/>
    </row>
    <row r="78" spans="1:21" s="40" customFormat="1" ht="40.5" customHeight="1" x14ac:dyDescent="0.25">
      <c r="A78" s="629"/>
      <c r="B78" s="630"/>
      <c r="C78" s="357" t="s">
        <v>14</v>
      </c>
      <c r="D78" s="377" t="s">
        <v>291</v>
      </c>
      <c r="E78" s="357" t="s">
        <v>25</v>
      </c>
      <c r="F78" s="366">
        <f>(2250/23/250)*100</f>
        <v>39.130434782608688</v>
      </c>
      <c r="G78" s="366">
        <f>(2447/23/250)*100</f>
        <v>42.556521739130439</v>
      </c>
      <c r="H78" s="367">
        <f>IF(G78/F78*100&gt;100,100,G78/F78*100)</f>
        <v>100</v>
      </c>
      <c r="I78" s="49"/>
      <c r="J78" s="357" t="str">
        <f>C78</f>
        <v>2.1.</v>
      </c>
      <c r="K78" s="361" t="s">
        <v>232</v>
      </c>
      <c r="L78" s="357" t="s">
        <v>38</v>
      </c>
      <c r="M78" s="365">
        <v>2250</v>
      </c>
      <c r="N78" s="365">
        <v>2447</v>
      </c>
      <c r="O78" s="358">
        <f t="shared" ref="O78:O146" si="15">IF(N78/M78*100&gt;110,110,N78/M78*100)</f>
        <v>108.75555555555556</v>
      </c>
      <c r="P78" s="352"/>
      <c r="Q78" s="353"/>
      <c r="R78" s="354"/>
      <c r="S78" s="639"/>
      <c r="T78" s="441"/>
      <c r="U78" s="441"/>
    </row>
    <row r="79" spans="1:21" ht="45.75" customHeight="1" x14ac:dyDescent="0.25">
      <c r="A79" s="629"/>
      <c r="B79" s="630"/>
      <c r="C79" s="170"/>
      <c r="D79" s="21" t="s">
        <v>6</v>
      </c>
      <c r="E79" s="170"/>
      <c r="F79" s="232"/>
      <c r="G79" s="232"/>
      <c r="H79" s="233"/>
      <c r="I79" s="177">
        <f>H78</f>
        <v>100</v>
      </c>
      <c r="J79" s="7"/>
      <c r="K79" s="21" t="s">
        <v>6</v>
      </c>
      <c r="L79" s="7"/>
      <c r="M79" s="7"/>
      <c r="N79" s="7"/>
      <c r="O79" s="7"/>
      <c r="P79" s="7">
        <f>O78</f>
        <v>108.75555555555556</v>
      </c>
      <c r="Q79" s="7">
        <f>(I79+P79)/2</f>
        <v>104.37777777777778</v>
      </c>
      <c r="R79" s="355" t="s">
        <v>31</v>
      </c>
      <c r="S79" s="639"/>
    </row>
    <row r="80" spans="1:21" s="40" customFormat="1" ht="81" customHeight="1" x14ac:dyDescent="0.25">
      <c r="A80" s="629"/>
      <c r="B80" s="630"/>
      <c r="C80" s="354" t="s">
        <v>28</v>
      </c>
      <c r="D80" s="23" t="s">
        <v>301</v>
      </c>
      <c r="E80" s="357"/>
      <c r="F80" s="218"/>
      <c r="G80" s="218"/>
      <c r="H80" s="216"/>
      <c r="I80" s="49"/>
      <c r="J80" s="354" t="str">
        <f>C80</f>
        <v>III</v>
      </c>
      <c r="K80" s="22" t="str">
        <f>D80</f>
        <v>Организация и проведение мероприятий - Культурно-массовых (услуга платная)</v>
      </c>
      <c r="L80" s="357"/>
      <c r="M80" s="38"/>
      <c r="N80" s="38"/>
      <c r="O80" s="353"/>
      <c r="P80" s="49"/>
      <c r="Q80" s="49"/>
      <c r="R80" s="354"/>
      <c r="S80" s="639"/>
      <c r="T80" s="441"/>
      <c r="U80" s="441"/>
    </row>
    <row r="81" spans="1:21" s="40" customFormat="1" ht="16.5" x14ac:dyDescent="0.25">
      <c r="A81" s="629"/>
      <c r="B81" s="630"/>
      <c r="C81" s="357" t="s">
        <v>29</v>
      </c>
      <c r="D81" s="377" t="s">
        <v>302</v>
      </c>
      <c r="E81" s="357" t="s">
        <v>25</v>
      </c>
      <c r="F81" s="366">
        <f>((3500*100/3500))</f>
        <v>100</v>
      </c>
      <c r="G81" s="366">
        <f>((3500*100/3500))</f>
        <v>100</v>
      </c>
      <c r="H81" s="367">
        <f>IF(G81/F81*100&gt;100,100,G81/F81*100)</f>
        <v>100</v>
      </c>
      <c r="I81" s="51"/>
      <c r="J81" s="357" t="str">
        <f>C81</f>
        <v>3.1.</v>
      </c>
      <c r="K81" s="361" t="s">
        <v>297</v>
      </c>
      <c r="L81" s="357" t="s">
        <v>38</v>
      </c>
      <c r="M81" s="365">
        <v>3500</v>
      </c>
      <c r="N81" s="365">
        <v>3500</v>
      </c>
      <c r="O81" s="358">
        <f t="shared" si="15"/>
        <v>100</v>
      </c>
      <c r="P81" s="49"/>
      <c r="Q81" s="49"/>
      <c r="R81" s="354"/>
      <c r="S81" s="639"/>
      <c r="T81" s="441"/>
      <c r="U81" s="441"/>
    </row>
    <row r="82" spans="1:21" s="40" customFormat="1" ht="70.5" customHeight="1" x14ac:dyDescent="0.25">
      <c r="A82" s="629"/>
      <c r="B82" s="630"/>
      <c r="C82" s="357" t="s">
        <v>30</v>
      </c>
      <c r="D82" s="377" t="s">
        <v>295</v>
      </c>
      <c r="E82" s="357" t="s">
        <v>25</v>
      </c>
      <c r="F82" s="231">
        <f xml:space="preserve"> ((14*100)/14)</f>
        <v>100</v>
      </c>
      <c r="G82" s="231">
        <f xml:space="preserve"> ((15*100)/14)</f>
        <v>107.14285714285714</v>
      </c>
      <c r="H82" s="367">
        <f>IF(G82/F82*100&gt;100,100,G82/F82*100)</f>
        <v>100</v>
      </c>
      <c r="I82" s="51"/>
      <c r="J82" s="357" t="str">
        <f>C82</f>
        <v>3.2.</v>
      </c>
      <c r="K82" s="361" t="s">
        <v>193</v>
      </c>
      <c r="L82" s="357" t="s">
        <v>41</v>
      </c>
      <c r="M82" s="365">
        <v>14</v>
      </c>
      <c r="N82" s="365">
        <v>15</v>
      </c>
      <c r="O82" s="358">
        <f t="shared" si="15"/>
        <v>107.14285714285714</v>
      </c>
      <c r="P82" s="49"/>
      <c r="Q82" s="49"/>
      <c r="R82" s="354"/>
      <c r="S82" s="639"/>
      <c r="T82" s="441"/>
      <c r="U82" s="441"/>
    </row>
    <row r="83" spans="1:21" s="40" customFormat="1" ht="60.75" customHeight="1" x14ac:dyDescent="0.25">
      <c r="A83" s="629"/>
      <c r="B83" s="630"/>
      <c r="C83" s="357" t="s">
        <v>52</v>
      </c>
      <c r="D83" s="377" t="s">
        <v>34</v>
      </c>
      <c r="E83" s="357" t="s">
        <v>25</v>
      </c>
      <c r="F83" s="218" t="s">
        <v>349</v>
      </c>
      <c r="G83" s="219">
        <v>0</v>
      </c>
      <c r="H83" s="367">
        <v>100</v>
      </c>
      <c r="I83" s="51"/>
      <c r="J83" s="354"/>
      <c r="K83" s="22"/>
      <c r="L83" s="357"/>
      <c r="M83" s="365"/>
      <c r="N83" s="365"/>
      <c r="O83" s="358"/>
      <c r="P83" s="49"/>
      <c r="Q83" s="49"/>
      <c r="R83" s="354"/>
      <c r="S83" s="639"/>
      <c r="T83" s="441"/>
      <c r="U83" s="441"/>
    </row>
    <row r="84" spans="1:21" s="16" customFormat="1" ht="33" x14ac:dyDescent="0.25">
      <c r="A84" s="629"/>
      <c r="B84" s="630"/>
      <c r="C84" s="171"/>
      <c r="D84" s="21" t="s">
        <v>6</v>
      </c>
      <c r="E84" s="30"/>
      <c r="F84" s="229"/>
      <c r="G84" s="230"/>
      <c r="H84" s="222"/>
      <c r="I84" s="7">
        <f>(H81+H82+H83)/3</f>
        <v>100</v>
      </c>
      <c r="J84" s="30"/>
      <c r="K84" s="21" t="s">
        <v>6</v>
      </c>
      <c r="L84" s="30"/>
      <c r="M84" s="235"/>
      <c r="N84" s="235"/>
      <c r="O84" s="7"/>
      <c r="P84" s="7">
        <f>(O81+O82)/2</f>
        <v>103.57142857142857</v>
      </c>
      <c r="Q84" s="7">
        <f>(I84+P84)/2</f>
        <v>101.78571428571428</v>
      </c>
      <c r="R84" s="355" t="s">
        <v>31</v>
      </c>
      <c r="S84" s="639"/>
      <c r="T84" s="441"/>
      <c r="U84" s="180"/>
    </row>
    <row r="85" spans="1:21" s="40" customFormat="1" ht="59.25" customHeight="1" x14ac:dyDescent="0.25">
      <c r="A85" s="629"/>
      <c r="B85" s="630"/>
      <c r="C85" s="354" t="s">
        <v>42</v>
      </c>
      <c r="D85" s="23" t="s">
        <v>65</v>
      </c>
      <c r="E85" s="357"/>
      <c r="F85" s="218"/>
      <c r="G85" s="218"/>
      <c r="H85" s="216"/>
      <c r="I85" s="49"/>
      <c r="J85" s="354" t="str">
        <f>C85</f>
        <v>IV</v>
      </c>
      <c r="K85" s="22" t="str">
        <f>D85</f>
        <v>Организация деятельности клубных формирований</v>
      </c>
      <c r="L85" s="357"/>
      <c r="M85" s="365"/>
      <c r="N85" s="365"/>
      <c r="O85" s="49"/>
      <c r="P85" s="49"/>
      <c r="Q85" s="49"/>
      <c r="R85" s="354"/>
      <c r="S85" s="639"/>
      <c r="T85" s="441"/>
      <c r="U85" s="441"/>
    </row>
    <row r="86" spans="1:21" s="40" customFormat="1" ht="59.25" customHeight="1" x14ac:dyDescent="0.25">
      <c r="A86" s="629"/>
      <c r="B86" s="630"/>
      <c r="C86" s="357" t="s">
        <v>43</v>
      </c>
      <c r="D86" s="377" t="s">
        <v>303</v>
      </c>
      <c r="E86" s="357" t="s">
        <v>25</v>
      </c>
      <c r="F86" s="366">
        <f>236/236*100</f>
        <v>100</v>
      </c>
      <c r="G86" s="366">
        <f>236/236*100</f>
        <v>100</v>
      </c>
      <c r="H86" s="367">
        <f>IF(G86/F86*100&gt;100,100,G86/F86*100)</f>
        <v>100</v>
      </c>
      <c r="I86" s="49"/>
      <c r="J86" s="357" t="str">
        <f t="shared" ref="J86" si="16">C86</f>
        <v>4.1.</v>
      </c>
      <c r="K86" s="361" t="s">
        <v>233</v>
      </c>
      <c r="L86" s="357" t="s">
        <v>41</v>
      </c>
      <c r="M86" s="365">
        <v>9</v>
      </c>
      <c r="N86" s="365">
        <v>9</v>
      </c>
      <c r="O86" s="358">
        <f t="shared" si="15"/>
        <v>100</v>
      </c>
      <c r="P86" s="49"/>
      <c r="Q86" s="49"/>
      <c r="R86" s="354"/>
      <c r="S86" s="639"/>
      <c r="T86" s="441"/>
      <c r="U86" s="441"/>
    </row>
    <row r="87" spans="1:21" s="40" customFormat="1" ht="82.5" x14ac:dyDescent="0.25">
      <c r="A87" s="629"/>
      <c r="B87" s="630"/>
      <c r="C87" s="357" t="s">
        <v>137</v>
      </c>
      <c r="D87" s="377" t="s">
        <v>296</v>
      </c>
      <c r="E87" s="357" t="s">
        <v>25</v>
      </c>
      <c r="F87" s="366">
        <f>2/9*100</f>
        <v>22.222222222222221</v>
      </c>
      <c r="G87" s="366">
        <f>2/9*100</f>
        <v>22.222222222222221</v>
      </c>
      <c r="H87" s="367">
        <f>IF(G87/F87*100&gt;100,100,G87/F87*100)</f>
        <v>100</v>
      </c>
      <c r="I87" s="49"/>
      <c r="J87" s="357" t="str">
        <f>C87</f>
        <v>4.2.</v>
      </c>
      <c r="K87" s="361" t="s">
        <v>298</v>
      </c>
      <c r="L87" s="357" t="s">
        <v>38</v>
      </c>
      <c r="M87" s="365">
        <v>236</v>
      </c>
      <c r="N87" s="365">
        <v>236</v>
      </c>
      <c r="O87" s="358">
        <f t="shared" si="15"/>
        <v>100</v>
      </c>
      <c r="P87" s="49"/>
      <c r="Q87" s="49"/>
      <c r="R87" s="354"/>
      <c r="S87" s="639"/>
      <c r="T87" s="441"/>
      <c r="U87" s="441"/>
    </row>
    <row r="88" spans="1:21" s="16" customFormat="1" ht="33" x14ac:dyDescent="0.25">
      <c r="A88" s="629"/>
      <c r="B88" s="630"/>
      <c r="C88" s="171"/>
      <c r="D88" s="21" t="s">
        <v>6</v>
      </c>
      <c r="E88" s="30"/>
      <c r="F88" s="229"/>
      <c r="G88" s="230"/>
      <c r="H88" s="222"/>
      <c r="I88" s="7">
        <f>(H86+H87)/2</f>
        <v>100</v>
      </c>
      <c r="J88" s="30"/>
      <c r="K88" s="21" t="s">
        <v>6</v>
      </c>
      <c r="L88" s="30"/>
      <c r="M88" s="235"/>
      <c r="N88" s="235"/>
      <c r="O88" s="7"/>
      <c r="P88" s="7">
        <f>(O87+O86)/2</f>
        <v>100</v>
      </c>
      <c r="Q88" s="7">
        <f>(I88+P88)/2</f>
        <v>100</v>
      </c>
      <c r="R88" s="355" t="s">
        <v>31</v>
      </c>
      <c r="S88" s="639"/>
      <c r="T88" s="441"/>
      <c r="U88" s="180"/>
    </row>
    <row r="89" spans="1:21" s="40" customFormat="1" ht="82.5" x14ac:dyDescent="0.25">
      <c r="A89" s="629"/>
      <c r="B89" s="630"/>
      <c r="C89" s="354" t="s">
        <v>164</v>
      </c>
      <c r="D89" s="23" t="s">
        <v>299</v>
      </c>
      <c r="E89" s="357"/>
      <c r="F89" s="224"/>
      <c r="G89" s="224"/>
      <c r="H89" s="216"/>
      <c r="I89" s="49"/>
      <c r="J89" s="354" t="str">
        <f>C89</f>
        <v>V</v>
      </c>
      <c r="K89" s="22" t="s">
        <v>299</v>
      </c>
      <c r="L89" s="357"/>
      <c r="M89" s="227"/>
      <c r="N89" s="227"/>
      <c r="O89" s="353"/>
      <c r="P89" s="49"/>
      <c r="Q89" s="49"/>
      <c r="R89" s="354"/>
      <c r="S89" s="639"/>
      <c r="T89" s="441"/>
      <c r="U89" s="441"/>
    </row>
    <row r="90" spans="1:21" s="40" customFormat="1" ht="98.25" customHeight="1" x14ac:dyDescent="0.25">
      <c r="A90" s="629"/>
      <c r="B90" s="630"/>
      <c r="C90" s="634" t="s">
        <v>165</v>
      </c>
      <c r="D90" s="643" t="s">
        <v>270</v>
      </c>
      <c r="E90" s="634" t="s">
        <v>38</v>
      </c>
      <c r="F90" s="644">
        <f>48/175075*1000</f>
        <v>0.27416821362273308</v>
      </c>
      <c r="G90" s="644">
        <f>52/177847*1000</f>
        <v>0.29238615214200969</v>
      </c>
      <c r="H90" s="640">
        <f>IF(G90/F90*100&gt;100,100,G90/F90*100)</f>
        <v>100</v>
      </c>
      <c r="I90" s="638"/>
      <c r="J90" s="357" t="str">
        <f t="shared" ref="J90" si="17">C90</f>
        <v>5.1.</v>
      </c>
      <c r="K90" s="361" t="s">
        <v>193</v>
      </c>
      <c r="L90" s="357" t="s">
        <v>41</v>
      </c>
      <c r="M90" s="365">
        <v>48</v>
      </c>
      <c r="N90" s="365">
        <v>52</v>
      </c>
      <c r="O90" s="358">
        <f t="shared" si="15"/>
        <v>108.33333333333333</v>
      </c>
      <c r="P90" s="51"/>
      <c r="Q90" s="49"/>
      <c r="R90" s="354"/>
      <c r="S90" s="639"/>
      <c r="T90" s="441"/>
      <c r="U90" s="441"/>
    </row>
    <row r="91" spans="1:21" s="40" customFormat="1" ht="31.5" customHeight="1" x14ac:dyDescent="0.25">
      <c r="A91" s="629"/>
      <c r="B91" s="630"/>
      <c r="C91" s="634"/>
      <c r="D91" s="643"/>
      <c r="E91" s="634"/>
      <c r="F91" s="644">
        <f>141/183865*1000</f>
        <v>0.76686699480597176</v>
      </c>
      <c r="G91" s="644">
        <f>141/183865*1000</f>
        <v>0.76686699480597176</v>
      </c>
      <c r="H91" s="640">
        <f>IF(G91/F91*100&gt;100,100,G91/F91*100)</f>
        <v>100</v>
      </c>
      <c r="I91" s="638"/>
      <c r="J91" s="357" t="s">
        <v>166</v>
      </c>
      <c r="K91" s="361" t="s">
        <v>293</v>
      </c>
      <c r="L91" s="357" t="s">
        <v>38</v>
      </c>
      <c r="M91" s="365">
        <v>68350</v>
      </c>
      <c r="N91" s="365">
        <v>72550</v>
      </c>
      <c r="O91" s="358">
        <f t="shared" si="15"/>
        <v>106.14484272128747</v>
      </c>
      <c r="P91" s="49"/>
      <c r="Q91" s="49"/>
      <c r="R91" s="354"/>
      <c r="S91" s="639"/>
      <c r="T91" s="441"/>
      <c r="U91" s="441"/>
    </row>
    <row r="92" spans="1:21" ht="45.75" customHeight="1" x14ac:dyDescent="0.25">
      <c r="A92" s="629"/>
      <c r="B92" s="630"/>
      <c r="C92" s="170"/>
      <c r="D92" s="21" t="s">
        <v>6</v>
      </c>
      <c r="E92" s="170"/>
      <c r="F92" s="232"/>
      <c r="G92" s="232"/>
      <c r="H92" s="233"/>
      <c r="I92" s="177">
        <f>H90</f>
        <v>100</v>
      </c>
      <c r="J92" s="7"/>
      <c r="K92" s="21" t="s">
        <v>6</v>
      </c>
      <c r="L92" s="7"/>
      <c r="M92" s="234"/>
      <c r="N92" s="234"/>
      <c r="O92" s="7"/>
      <c r="P92" s="7">
        <f>(O90+O91)/2</f>
        <v>107.2390880273104</v>
      </c>
      <c r="Q92" s="7">
        <f>(I92+P92)/2</f>
        <v>103.6195440136552</v>
      </c>
      <c r="R92" s="355" t="s">
        <v>31</v>
      </c>
      <c r="S92" s="639"/>
    </row>
    <row r="93" spans="1:21" s="40" customFormat="1" ht="83.25" customHeight="1" x14ac:dyDescent="0.25">
      <c r="A93" s="629"/>
      <c r="B93" s="630"/>
      <c r="C93" s="354" t="s">
        <v>170</v>
      </c>
      <c r="D93" s="23" t="s">
        <v>438</v>
      </c>
      <c r="E93" s="354"/>
      <c r="F93" s="224"/>
      <c r="G93" s="224"/>
      <c r="H93" s="216"/>
      <c r="I93" s="49"/>
      <c r="J93" s="354" t="str">
        <f t="shared" ref="J93:J94" si="18">C93</f>
        <v>VI</v>
      </c>
      <c r="K93" s="22" t="str">
        <f>D93</f>
        <v>Организация и проведение культурно-массовых мероприятий (иные зрелищные мероприятия)</v>
      </c>
      <c r="L93" s="357"/>
      <c r="M93" s="365"/>
      <c r="N93" s="365"/>
      <c r="O93" s="353"/>
      <c r="P93" s="49"/>
      <c r="Q93" s="49"/>
      <c r="R93" s="354"/>
      <c r="S93" s="639"/>
      <c r="T93" s="441"/>
      <c r="U93" s="441"/>
    </row>
    <row r="94" spans="1:21" s="40" customFormat="1" ht="61.5" customHeight="1" x14ac:dyDescent="0.25">
      <c r="A94" s="629"/>
      <c r="B94" s="630"/>
      <c r="C94" s="634" t="s">
        <v>171</v>
      </c>
      <c r="D94" s="643" t="s">
        <v>271</v>
      </c>
      <c r="E94" s="634" t="s">
        <v>41</v>
      </c>
      <c r="F94" s="644">
        <f>144/175075*1000</f>
        <v>0.82250464086819941</v>
      </c>
      <c r="G94" s="644">
        <f>154/177847*1000</f>
        <v>0.865912835189798</v>
      </c>
      <c r="H94" s="640">
        <f>IF(G94/F94*100&gt;100,100,G94/F94*100)</f>
        <v>100</v>
      </c>
      <c r="I94" s="638"/>
      <c r="J94" s="357" t="str">
        <f t="shared" si="18"/>
        <v>6.1.</v>
      </c>
      <c r="K94" s="361" t="s">
        <v>193</v>
      </c>
      <c r="L94" s="357" t="s">
        <v>41</v>
      </c>
      <c r="M94" s="227">
        <v>144</v>
      </c>
      <c r="N94" s="227">
        <v>154</v>
      </c>
      <c r="O94" s="358">
        <f t="shared" si="15"/>
        <v>106.94444444444444</v>
      </c>
      <c r="P94" s="51"/>
      <c r="Q94" s="49"/>
      <c r="R94" s="354"/>
      <c r="S94" s="639"/>
      <c r="T94" s="441"/>
      <c r="U94" s="441"/>
    </row>
    <row r="95" spans="1:21" s="40" customFormat="1" ht="53.25" customHeight="1" x14ac:dyDescent="0.25">
      <c r="A95" s="629"/>
      <c r="B95" s="630"/>
      <c r="C95" s="634"/>
      <c r="D95" s="643"/>
      <c r="E95" s="634"/>
      <c r="F95" s="644">
        <f>155/183865*1000</f>
        <v>0.84300981698528821</v>
      </c>
      <c r="G95" s="644">
        <f>155/183865*1000</f>
        <v>0.84300981698528821</v>
      </c>
      <c r="H95" s="640">
        <f>IF(G95/F95*100&gt;100,100,G95/F95*100)</f>
        <v>100</v>
      </c>
      <c r="I95" s="638"/>
      <c r="J95" s="357" t="s">
        <v>172</v>
      </c>
      <c r="K95" s="361" t="s">
        <v>300</v>
      </c>
      <c r="L95" s="357" t="s">
        <v>38</v>
      </c>
      <c r="M95" s="227">
        <v>89190</v>
      </c>
      <c r="N95" s="227">
        <v>94565</v>
      </c>
      <c r="O95" s="358">
        <f t="shared" si="15"/>
        <v>106.02646036551182</v>
      </c>
      <c r="P95" s="49"/>
      <c r="Q95" s="49"/>
      <c r="R95" s="354"/>
      <c r="S95" s="639"/>
      <c r="T95" s="441"/>
      <c r="U95" s="441"/>
    </row>
    <row r="96" spans="1:21" ht="45.75" customHeight="1" x14ac:dyDescent="0.25">
      <c r="A96" s="629"/>
      <c r="B96" s="630"/>
      <c r="C96" s="170"/>
      <c r="D96" s="21" t="s">
        <v>6</v>
      </c>
      <c r="E96" s="170"/>
      <c r="F96" s="232"/>
      <c r="G96" s="232"/>
      <c r="H96" s="233"/>
      <c r="I96" s="177">
        <f>H94</f>
        <v>100</v>
      </c>
      <c r="J96" s="7"/>
      <c r="K96" s="21" t="s">
        <v>6</v>
      </c>
      <c r="L96" s="7"/>
      <c r="M96" s="7"/>
      <c r="N96" s="7"/>
      <c r="O96" s="7"/>
      <c r="P96" s="7">
        <f>(O94+O95)/2</f>
        <v>106.48545240497813</v>
      </c>
      <c r="Q96" s="7">
        <f>(I96+P96)/2</f>
        <v>103.24272620248907</v>
      </c>
      <c r="R96" s="355" t="s">
        <v>31</v>
      </c>
      <c r="S96" s="639"/>
    </row>
    <row r="97" spans="1:21" s="13" customFormat="1" ht="74.25" customHeight="1" x14ac:dyDescent="0.25">
      <c r="A97" s="629" t="s">
        <v>77</v>
      </c>
      <c r="B97" s="630" t="s">
        <v>235</v>
      </c>
      <c r="C97" s="373" t="s">
        <v>12</v>
      </c>
      <c r="D97" s="23" t="s">
        <v>411</v>
      </c>
      <c r="E97" s="354"/>
      <c r="F97" s="215"/>
      <c r="G97" s="215"/>
      <c r="H97" s="216"/>
      <c r="I97" s="49"/>
      <c r="J97" s="354" t="str">
        <f>C97</f>
        <v>I</v>
      </c>
      <c r="K97" s="22" t="str">
        <f>D97</f>
        <v>Показ кинофильмов (услуга платная)</v>
      </c>
      <c r="L97" s="354"/>
      <c r="M97" s="38"/>
      <c r="N97" s="38"/>
      <c r="O97" s="216"/>
      <c r="P97" s="39"/>
      <c r="Q97" s="49"/>
      <c r="R97" s="354"/>
      <c r="S97" s="639" t="s">
        <v>280</v>
      </c>
      <c r="T97" s="297"/>
      <c r="U97" s="270"/>
    </row>
    <row r="98" spans="1:21" ht="33.75" customHeight="1" x14ac:dyDescent="0.25">
      <c r="A98" s="629"/>
      <c r="B98" s="630"/>
      <c r="C98" s="357" t="s">
        <v>7</v>
      </c>
      <c r="D98" s="377" t="s">
        <v>291</v>
      </c>
      <c r="E98" s="357" t="s">
        <v>25</v>
      </c>
      <c r="F98" s="226">
        <f>28000/1200/296*100</f>
        <v>7.8828828828828827</v>
      </c>
      <c r="G98" s="226">
        <f>26286/1300/296*100</f>
        <v>6.8310810810810807</v>
      </c>
      <c r="H98" s="367">
        <f>IF(G98/F98*100&gt;100,100,G98/F98*100)</f>
        <v>86.657142857142858</v>
      </c>
      <c r="I98" s="49"/>
      <c r="J98" s="634" t="s">
        <v>7</v>
      </c>
      <c r="K98" s="633" t="s">
        <v>232</v>
      </c>
      <c r="L98" s="634" t="s">
        <v>38</v>
      </c>
      <c r="M98" s="635">
        <v>28000</v>
      </c>
      <c r="N98" s="635">
        <v>26286</v>
      </c>
      <c r="O98" s="640">
        <f t="shared" si="15"/>
        <v>93.878571428571433</v>
      </c>
      <c r="P98" s="637"/>
      <c r="Q98" s="638"/>
      <c r="R98" s="630"/>
      <c r="S98" s="639"/>
      <c r="T98" s="297"/>
    </row>
    <row r="99" spans="1:21" ht="68.25" customHeight="1" x14ac:dyDescent="0.25">
      <c r="A99" s="629"/>
      <c r="B99" s="630"/>
      <c r="C99" s="357" t="s">
        <v>8</v>
      </c>
      <c r="D99" s="377" t="s">
        <v>34</v>
      </c>
      <c r="E99" s="357" t="s">
        <v>25</v>
      </c>
      <c r="F99" s="218" t="s">
        <v>349</v>
      </c>
      <c r="G99" s="368">
        <v>0</v>
      </c>
      <c r="H99" s="367">
        <v>100</v>
      </c>
      <c r="I99" s="51"/>
      <c r="J99" s="634"/>
      <c r="K99" s="633"/>
      <c r="L99" s="634"/>
      <c r="M99" s="634"/>
      <c r="N99" s="634"/>
      <c r="O99" s="640" t="e">
        <f t="shared" si="15"/>
        <v>#DIV/0!</v>
      </c>
      <c r="P99" s="637"/>
      <c r="Q99" s="638"/>
      <c r="R99" s="630"/>
      <c r="S99" s="639"/>
      <c r="T99" s="297"/>
    </row>
    <row r="100" spans="1:21" s="16" customFormat="1" ht="33" x14ac:dyDescent="0.25">
      <c r="A100" s="629"/>
      <c r="B100" s="630"/>
      <c r="C100" s="171"/>
      <c r="D100" s="21" t="s">
        <v>6</v>
      </c>
      <c r="E100" s="30"/>
      <c r="F100" s="229"/>
      <c r="G100" s="230"/>
      <c r="H100" s="222"/>
      <c r="I100" s="7">
        <f>(H98+H99)/2</f>
        <v>93.328571428571422</v>
      </c>
      <c r="J100" s="30"/>
      <c r="K100" s="21" t="s">
        <v>6</v>
      </c>
      <c r="L100" s="30"/>
      <c r="M100" s="101"/>
      <c r="N100" s="101"/>
      <c r="O100" s="222"/>
      <c r="P100" s="7">
        <f>O98</f>
        <v>93.878571428571433</v>
      </c>
      <c r="Q100" s="7">
        <f>(I100+P100)/2</f>
        <v>93.603571428571428</v>
      </c>
      <c r="R100" s="355" t="s">
        <v>361</v>
      </c>
      <c r="S100" s="639"/>
      <c r="T100" s="297"/>
      <c r="U100" s="180"/>
    </row>
    <row r="101" spans="1:21" ht="33" x14ac:dyDescent="0.25">
      <c r="A101" s="629"/>
      <c r="B101" s="630"/>
      <c r="C101" s="373" t="s">
        <v>13</v>
      </c>
      <c r="D101" s="23" t="s">
        <v>412</v>
      </c>
      <c r="E101" s="354"/>
      <c r="F101" s="218"/>
      <c r="G101" s="218"/>
      <c r="H101" s="216"/>
      <c r="I101" s="49"/>
      <c r="J101" s="354" t="str">
        <f>C101</f>
        <v>II</v>
      </c>
      <c r="K101" s="22" t="str">
        <f>D101</f>
        <v>Показ кинофильмов (услуга бесплатная)</v>
      </c>
      <c r="L101" s="357"/>
      <c r="M101" s="357"/>
      <c r="N101" s="357"/>
      <c r="O101" s="216"/>
      <c r="P101" s="352"/>
      <c r="Q101" s="353"/>
      <c r="R101" s="354"/>
      <c r="S101" s="639"/>
      <c r="T101" s="297"/>
    </row>
    <row r="102" spans="1:21" ht="41.25" customHeight="1" x14ac:dyDescent="0.25">
      <c r="A102" s="629"/>
      <c r="B102" s="630"/>
      <c r="C102" s="357" t="s">
        <v>14</v>
      </c>
      <c r="D102" s="377" t="s">
        <v>291</v>
      </c>
      <c r="E102" s="357" t="s">
        <v>25</v>
      </c>
      <c r="F102" s="366">
        <f>500/9/296*100</f>
        <v>18.768768768768769</v>
      </c>
      <c r="G102" s="366">
        <f>502/9/296*100</f>
        <v>18.843843843843842</v>
      </c>
      <c r="H102" s="367">
        <f>IF(G102/F102*100&gt;100,100,G102/F102*100)</f>
        <v>100</v>
      </c>
      <c r="I102" s="51"/>
      <c r="J102" s="357" t="str">
        <f>C102</f>
        <v>2.1.</v>
      </c>
      <c r="K102" s="361" t="s">
        <v>232</v>
      </c>
      <c r="L102" s="357" t="s">
        <v>38</v>
      </c>
      <c r="M102" s="365">
        <v>500</v>
      </c>
      <c r="N102" s="365">
        <v>502</v>
      </c>
      <c r="O102" s="367">
        <f>IF(N102/M102*100&gt;110,110,N102/M102*100)</f>
        <v>100.4</v>
      </c>
      <c r="P102" s="352"/>
      <c r="Q102" s="353"/>
      <c r="R102" s="354"/>
      <c r="S102" s="639"/>
      <c r="T102" s="297"/>
    </row>
    <row r="103" spans="1:21" ht="33" x14ac:dyDescent="0.25">
      <c r="A103" s="629"/>
      <c r="B103" s="630"/>
      <c r="C103" s="30"/>
      <c r="D103" s="21" t="s">
        <v>6</v>
      </c>
      <c r="E103" s="30"/>
      <c r="F103" s="220"/>
      <c r="G103" s="221"/>
      <c r="H103" s="222"/>
      <c r="I103" s="7">
        <f>H102</f>
        <v>100</v>
      </c>
      <c r="J103" s="355"/>
      <c r="K103" s="21" t="s">
        <v>6</v>
      </c>
      <c r="L103" s="355"/>
      <c r="M103" s="355"/>
      <c r="N103" s="355"/>
      <c r="O103" s="222"/>
      <c r="P103" s="7">
        <f>O102</f>
        <v>100.4</v>
      </c>
      <c r="Q103" s="7">
        <f>(I103+P103)/2</f>
        <v>100.2</v>
      </c>
      <c r="R103" s="355" t="s">
        <v>31</v>
      </c>
      <c r="S103" s="639"/>
      <c r="T103" s="297"/>
      <c r="U103" s="180"/>
    </row>
    <row r="104" spans="1:21" s="13" customFormat="1" ht="49.5" x14ac:dyDescent="0.25">
      <c r="A104" s="629"/>
      <c r="B104" s="630"/>
      <c r="C104" s="354" t="s">
        <v>28</v>
      </c>
      <c r="D104" s="23" t="s">
        <v>301</v>
      </c>
      <c r="E104" s="357"/>
      <c r="F104" s="218"/>
      <c r="G104" s="218"/>
      <c r="H104" s="216"/>
      <c r="I104" s="49"/>
      <c r="J104" s="354" t="str">
        <f>C104</f>
        <v>III</v>
      </c>
      <c r="K104" s="22" t="str">
        <f>D104</f>
        <v>Организация и проведение мероприятий - Культурно-массовых (услуга платная)</v>
      </c>
      <c r="L104" s="354"/>
      <c r="M104" s="38"/>
      <c r="N104" s="38"/>
      <c r="O104" s="216"/>
      <c r="P104" s="49"/>
      <c r="Q104" s="49"/>
      <c r="R104" s="354"/>
      <c r="S104" s="639"/>
      <c r="T104" s="297"/>
      <c r="U104" s="270"/>
    </row>
    <row r="105" spans="1:21" ht="16.5" x14ac:dyDescent="0.25">
      <c r="A105" s="629"/>
      <c r="B105" s="630"/>
      <c r="C105" s="357" t="s">
        <v>29</v>
      </c>
      <c r="D105" s="377" t="s">
        <v>302</v>
      </c>
      <c r="E105" s="357" t="s">
        <v>25</v>
      </c>
      <c r="F105" s="366">
        <f>2390/2390*100</f>
        <v>100</v>
      </c>
      <c r="G105" s="366">
        <f>2562/2390*100</f>
        <v>107.19665271966528</v>
      </c>
      <c r="H105" s="367">
        <f>IF(G105/F105*100&gt;100,100,G105/F105*100)</f>
        <v>100</v>
      </c>
      <c r="I105" s="51"/>
      <c r="J105" s="357" t="str">
        <f>C105</f>
        <v>3.1.</v>
      </c>
      <c r="K105" s="361" t="s">
        <v>297</v>
      </c>
      <c r="L105" s="357" t="s">
        <v>38</v>
      </c>
      <c r="M105" s="365">
        <v>2390</v>
      </c>
      <c r="N105" s="365">
        <v>2562</v>
      </c>
      <c r="O105" s="367">
        <f t="shared" si="15"/>
        <v>107.19665271966528</v>
      </c>
      <c r="P105" s="49"/>
      <c r="Q105" s="49"/>
      <c r="R105" s="354"/>
      <c r="S105" s="639"/>
      <c r="T105" s="297"/>
    </row>
    <row r="106" spans="1:21" ht="70.5" customHeight="1" x14ac:dyDescent="0.25">
      <c r="A106" s="629"/>
      <c r="B106" s="630"/>
      <c r="C106" s="357" t="s">
        <v>30</v>
      </c>
      <c r="D106" s="377" t="s">
        <v>295</v>
      </c>
      <c r="E106" s="357" t="s">
        <v>25</v>
      </c>
      <c r="F106" s="231">
        <f>((13*100/13))</f>
        <v>100</v>
      </c>
      <c r="G106" s="231">
        <f>((13/13*100))</f>
        <v>100</v>
      </c>
      <c r="H106" s="367">
        <f>IF(G106/F106*100&gt;100,100,G106/F106*100)</f>
        <v>100</v>
      </c>
      <c r="I106" s="51"/>
      <c r="J106" s="357" t="str">
        <f>C106</f>
        <v>3.2.</v>
      </c>
      <c r="K106" s="361" t="s">
        <v>193</v>
      </c>
      <c r="L106" s="357" t="s">
        <v>41</v>
      </c>
      <c r="M106" s="365">
        <v>13</v>
      </c>
      <c r="N106" s="365">
        <v>13</v>
      </c>
      <c r="O106" s="367">
        <f t="shared" si="15"/>
        <v>100</v>
      </c>
      <c r="P106" s="49"/>
      <c r="Q106" s="49"/>
      <c r="R106" s="354"/>
      <c r="S106" s="639"/>
      <c r="T106" s="297"/>
    </row>
    <row r="107" spans="1:21" ht="57.75" customHeight="1" x14ac:dyDescent="0.25">
      <c r="A107" s="629"/>
      <c r="B107" s="630"/>
      <c r="C107" s="357" t="s">
        <v>52</v>
      </c>
      <c r="D107" s="377" t="s">
        <v>34</v>
      </c>
      <c r="E107" s="357" t="s">
        <v>25</v>
      </c>
      <c r="F107" s="218" t="s">
        <v>349</v>
      </c>
      <c r="G107" s="368">
        <v>0</v>
      </c>
      <c r="H107" s="367">
        <v>100</v>
      </c>
      <c r="I107" s="51"/>
      <c r="J107" s="357"/>
      <c r="K107" s="361"/>
      <c r="L107" s="357"/>
      <c r="M107" s="357"/>
      <c r="N107" s="357"/>
      <c r="O107" s="367"/>
      <c r="P107" s="49"/>
      <c r="Q107" s="49"/>
      <c r="R107" s="354"/>
      <c r="S107" s="639"/>
      <c r="T107" s="297"/>
    </row>
    <row r="108" spans="1:21" s="16" customFormat="1" ht="33" x14ac:dyDescent="0.25">
      <c r="A108" s="629"/>
      <c r="B108" s="630"/>
      <c r="C108" s="171"/>
      <c r="D108" s="21" t="s">
        <v>6</v>
      </c>
      <c r="E108" s="30"/>
      <c r="F108" s="229"/>
      <c r="G108" s="230"/>
      <c r="H108" s="222"/>
      <c r="I108" s="7">
        <f>(H105+H106+H107)/3</f>
        <v>100</v>
      </c>
      <c r="J108" s="30"/>
      <c r="K108" s="21" t="s">
        <v>6</v>
      </c>
      <c r="L108" s="30"/>
      <c r="M108" s="101"/>
      <c r="N108" s="101"/>
      <c r="O108" s="222"/>
      <c r="P108" s="7">
        <f>(O105+O106)/2</f>
        <v>103.59832635983264</v>
      </c>
      <c r="Q108" s="7">
        <f>(I108+P108)/2</f>
        <v>101.79916317991632</v>
      </c>
      <c r="R108" s="355" t="s">
        <v>31</v>
      </c>
      <c r="S108" s="639"/>
      <c r="T108" s="297"/>
      <c r="U108" s="180"/>
    </row>
    <row r="109" spans="1:21" s="13" customFormat="1" ht="33" x14ac:dyDescent="0.25">
      <c r="A109" s="629"/>
      <c r="B109" s="630"/>
      <c r="C109" s="354" t="s">
        <v>42</v>
      </c>
      <c r="D109" s="23" t="s">
        <v>65</v>
      </c>
      <c r="E109" s="357"/>
      <c r="F109" s="218"/>
      <c r="G109" s="218"/>
      <c r="H109" s="216"/>
      <c r="I109" s="49"/>
      <c r="J109" s="354" t="str">
        <f>C109</f>
        <v>IV</v>
      </c>
      <c r="K109" s="22" t="str">
        <f>D109</f>
        <v>Организация деятельности клубных формирований</v>
      </c>
      <c r="L109" s="354"/>
      <c r="M109" s="357"/>
      <c r="N109" s="357"/>
      <c r="O109" s="216"/>
      <c r="P109" s="49"/>
      <c r="Q109" s="49"/>
      <c r="R109" s="354"/>
      <c r="S109" s="639"/>
      <c r="T109" s="297"/>
      <c r="U109" s="270"/>
    </row>
    <row r="110" spans="1:21" ht="49.5" x14ac:dyDescent="0.25">
      <c r="A110" s="629"/>
      <c r="B110" s="630"/>
      <c r="C110" s="357" t="s">
        <v>43</v>
      </c>
      <c r="D110" s="377" t="s">
        <v>303</v>
      </c>
      <c r="E110" s="357" t="s">
        <v>25</v>
      </c>
      <c r="F110" s="366">
        <f>150/150*100</f>
        <v>100</v>
      </c>
      <c r="G110" s="366">
        <f>150/150*100</f>
        <v>100</v>
      </c>
      <c r="H110" s="367">
        <f>IF(G110/F110*100&gt;100,100,G110/F110*100)</f>
        <v>100</v>
      </c>
      <c r="I110" s="49"/>
      <c r="J110" s="357" t="str">
        <f t="shared" ref="J110" si="19">C110</f>
        <v>4.1.</v>
      </c>
      <c r="K110" s="361" t="s">
        <v>233</v>
      </c>
      <c r="L110" s="357" t="s">
        <v>41</v>
      </c>
      <c r="M110" s="365">
        <v>13</v>
      </c>
      <c r="N110" s="365">
        <v>13</v>
      </c>
      <c r="O110" s="367">
        <f t="shared" si="15"/>
        <v>100</v>
      </c>
      <c r="P110" s="49"/>
      <c r="Q110" s="49"/>
      <c r="R110" s="354"/>
      <c r="S110" s="639"/>
      <c r="T110" s="297"/>
    </row>
    <row r="111" spans="1:21" ht="82.5" x14ac:dyDescent="0.25">
      <c r="A111" s="629"/>
      <c r="B111" s="630"/>
      <c r="C111" s="357" t="s">
        <v>137</v>
      </c>
      <c r="D111" s="377" t="s">
        <v>296</v>
      </c>
      <c r="E111" s="357" t="s">
        <v>25</v>
      </c>
      <c r="F111" s="366">
        <f>2/13*100</f>
        <v>15.384615384615385</v>
      </c>
      <c r="G111" s="366">
        <f>2/13*100</f>
        <v>15.384615384615385</v>
      </c>
      <c r="H111" s="367">
        <f>IF(G111/F111*100&gt;100,100,G111/F111*100)</f>
        <v>100</v>
      </c>
      <c r="I111" s="49"/>
      <c r="J111" s="357" t="str">
        <f>C111</f>
        <v>4.2.</v>
      </c>
      <c r="K111" s="361" t="s">
        <v>298</v>
      </c>
      <c r="L111" s="357" t="s">
        <v>38</v>
      </c>
      <c r="M111" s="365">
        <v>150</v>
      </c>
      <c r="N111" s="365">
        <v>150</v>
      </c>
      <c r="O111" s="367">
        <f t="shared" si="15"/>
        <v>100</v>
      </c>
      <c r="P111" s="49"/>
      <c r="Q111" s="49"/>
      <c r="R111" s="354"/>
      <c r="S111" s="639"/>
      <c r="T111" s="297"/>
    </row>
    <row r="112" spans="1:21" s="16" customFormat="1" ht="33" x14ac:dyDescent="0.25">
      <c r="A112" s="629"/>
      <c r="B112" s="630"/>
      <c r="C112" s="171"/>
      <c r="D112" s="21" t="s">
        <v>6</v>
      </c>
      <c r="E112" s="30"/>
      <c r="F112" s="229"/>
      <c r="G112" s="230"/>
      <c r="H112" s="222"/>
      <c r="I112" s="7">
        <f>(H110+H111)/2</f>
        <v>100</v>
      </c>
      <c r="J112" s="30"/>
      <c r="K112" s="21" t="s">
        <v>6</v>
      </c>
      <c r="L112" s="30"/>
      <c r="M112" s="101"/>
      <c r="N112" s="101"/>
      <c r="O112" s="222"/>
      <c r="P112" s="7">
        <f>(O111+O110)/2</f>
        <v>100</v>
      </c>
      <c r="Q112" s="7">
        <f>(I112+P112)/2</f>
        <v>100</v>
      </c>
      <c r="R112" s="355" t="s">
        <v>31</v>
      </c>
      <c r="S112" s="639"/>
      <c r="T112" s="297"/>
      <c r="U112" s="180"/>
    </row>
    <row r="113" spans="1:21" ht="82.5" x14ac:dyDescent="0.25">
      <c r="A113" s="629"/>
      <c r="B113" s="630"/>
      <c r="C113" s="354" t="s">
        <v>164</v>
      </c>
      <c r="D113" s="23" t="s">
        <v>299</v>
      </c>
      <c r="E113" s="357"/>
      <c r="F113" s="224"/>
      <c r="G113" s="224"/>
      <c r="H113" s="216"/>
      <c r="I113" s="49"/>
      <c r="J113" s="354" t="str">
        <f>C113</f>
        <v>V</v>
      </c>
      <c r="K113" s="22" t="s">
        <v>299</v>
      </c>
      <c r="L113" s="357"/>
      <c r="M113" s="38"/>
      <c r="N113" s="38"/>
      <c r="O113" s="216"/>
      <c r="P113" s="49"/>
      <c r="Q113" s="49"/>
      <c r="R113" s="354"/>
      <c r="S113" s="639"/>
      <c r="T113" s="297"/>
    </row>
    <row r="114" spans="1:21" ht="33" customHeight="1" x14ac:dyDescent="0.25">
      <c r="A114" s="629"/>
      <c r="B114" s="630"/>
      <c r="C114" s="634" t="s">
        <v>165</v>
      </c>
      <c r="D114" s="643" t="s">
        <v>270</v>
      </c>
      <c r="E114" s="634" t="s">
        <v>38</v>
      </c>
      <c r="F114" s="636">
        <f>48/175075*1000</f>
        <v>0.27416821362273308</v>
      </c>
      <c r="G114" s="636">
        <f>48/177847*1000</f>
        <v>0.26989490966954743</v>
      </c>
      <c r="H114" s="640">
        <f>IF(G114/F114*100&gt;100,100,G114/F114*100)</f>
        <v>98.441356896658377</v>
      </c>
      <c r="I114" s="638"/>
      <c r="J114" s="357" t="str">
        <f t="shared" ref="J114" si="20">C114</f>
        <v>5.1.</v>
      </c>
      <c r="K114" s="361" t="s">
        <v>193</v>
      </c>
      <c r="L114" s="357" t="s">
        <v>41</v>
      </c>
      <c r="M114" s="365">
        <v>48</v>
      </c>
      <c r="N114" s="365">
        <v>48</v>
      </c>
      <c r="O114" s="367">
        <f t="shared" si="15"/>
        <v>100</v>
      </c>
      <c r="P114" s="51"/>
      <c r="Q114" s="49"/>
      <c r="R114" s="354"/>
      <c r="S114" s="639"/>
      <c r="T114" s="297"/>
    </row>
    <row r="115" spans="1:21" ht="58.5" customHeight="1" x14ac:dyDescent="0.25">
      <c r="A115" s="629"/>
      <c r="B115" s="630"/>
      <c r="C115" s="634"/>
      <c r="D115" s="643"/>
      <c r="E115" s="634"/>
      <c r="F115" s="636">
        <f>56/183865*1000</f>
        <v>0.30457128871726535</v>
      </c>
      <c r="G115" s="636">
        <f>56/183865*1000</f>
        <v>0.30457128871726535</v>
      </c>
      <c r="H115" s="640">
        <f>IF(G115/F115*100&gt;100,100,G115/F115*100)</f>
        <v>100</v>
      </c>
      <c r="I115" s="638"/>
      <c r="J115" s="357" t="s">
        <v>166</v>
      </c>
      <c r="K115" s="361" t="s">
        <v>300</v>
      </c>
      <c r="L115" s="357" t="s">
        <v>38</v>
      </c>
      <c r="M115" s="365">
        <v>23850</v>
      </c>
      <c r="N115" s="365">
        <v>23883</v>
      </c>
      <c r="O115" s="367">
        <f t="shared" si="15"/>
        <v>100.13836477987421</v>
      </c>
      <c r="P115" s="49"/>
      <c r="Q115" s="49"/>
      <c r="R115" s="354"/>
      <c r="S115" s="639"/>
      <c r="T115" s="297"/>
    </row>
    <row r="116" spans="1:21" s="16" customFormat="1" ht="33" x14ac:dyDescent="0.25">
      <c r="A116" s="629"/>
      <c r="B116" s="630"/>
      <c r="C116" s="171"/>
      <c r="D116" s="21" t="s">
        <v>6</v>
      </c>
      <c r="E116" s="30"/>
      <c r="F116" s="229"/>
      <c r="G116" s="230"/>
      <c r="H116" s="222"/>
      <c r="I116" s="7">
        <f>H114</f>
        <v>98.441356896658377</v>
      </c>
      <c r="J116" s="30"/>
      <c r="K116" s="21" t="s">
        <v>6</v>
      </c>
      <c r="L116" s="30"/>
      <c r="M116" s="101"/>
      <c r="N116" s="101"/>
      <c r="O116" s="222"/>
      <c r="P116" s="7">
        <f>(O115+O114)/2</f>
        <v>100.06918238993711</v>
      </c>
      <c r="Q116" s="7">
        <f>(I116+P116)/2</f>
        <v>99.255269643297737</v>
      </c>
      <c r="R116" s="355" t="s">
        <v>361</v>
      </c>
      <c r="S116" s="639"/>
      <c r="T116" s="297"/>
      <c r="U116" s="180"/>
    </row>
    <row r="117" spans="1:21" ht="66" x14ac:dyDescent="0.25">
      <c r="A117" s="629"/>
      <c r="B117" s="630"/>
      <c r="C117" s="354" t="s">
        <v>170</v>
      </c>
      <c r="D117" s="23" t="s">
        <v>304</v>
      </c>
      <c r="E117" s="354"/>
      <c r="F117" s="224"/>
      <c r="G117" s="224"/>
      <c r="H117" s="216"/>
      <c r="I117" s="49"/>
      <c r="J117" s="354" t="s">
        <v>164</v>
      </c>
      <c r="K117" s="22" t="s">
        <v>304</v>
      </c>
      <c r="L117" s="357"/>
      <c r="M117" s="357"/>
      <c r="N117" s="357"/>
      <c r="O117" s="216"/>
      <c r="P117" s="49"/>
      <c r="Q117" s="49"/>
      <c r="R117" s="354"/>
      <c r="S117" s="639"/>
      <c r="T117" s="297"/>
    </row>
    <row r="118" spans="1:21" ht="33" customHeight="1" x14ac:dyDescent="0.25">
      <c r="A118" s="629"/>
      <c r="B118" s="630"/>
      <c r="C118" s="634" t="s">
        <v>171</v>
      </c>
      <c r="D118" s="643" t="s">
        <v>271</v>
      </c>
      <c r="E118" s="634" t="s">
        <v>41</v>
      </c>
      <c r="F118" s="636">
        <f>129/175075*1000</f>
        <v>0.73682707411109516</v>
      </c>
      <c r="G118" s="636">
        <f>141/177847*1000</f>
        <v>0.79281629715429558</v>
      </c>
      <c r="H118" s="640">
        <f>IF(G118/F118*100&gt;100,100,G118/F118*100)</f>
        <v>100</v>
      </c>
      <c r="I118" s="638"/>
      <c r="J118" s="357" t="s">
        <v>171</v>
      </c>
      <c r="K118" s="361" t="s">
        <v>193</v>
      </c>
      <c r="L118" s="357" t="s">
        <v>41</v>
      </c>
      <c r="M118" s="227">
        <v>129</v>
      </c>
      <c r="N118" s="227">
        <v>141</v>
      </c>
      <c r="O118" s="367">
        <f t="shared" si="15"/>
        <v>109.30232558139534</v>
      </c>
      <c r="P118" s="51"/>
      <c r="Q118" s="49"/>
      <c r="R118" s="354"/>
      <c r="S118" s="639"/>
      <c r="T118" s="297"/>
    </row>
    <row r="119" spans="1:21" ht="63.75" customHeight="1" x14ac:dyDescent="0.25">
      <c r="A119" s="629"/>
      <c r="B119" s="630"/>
      <c r="C119" s="634"/>
      <c r="D119" s="643"/>
      <c r="E119" s="634"/>
      <c r="F119" s="636"/>
      <c r="G119" s="636">
        <f>140/183865*1000</f>
        <v>0.7614282217931635</v>
      </c>
      <c r="H119" s="640" t="e">
        <f>IF(G119/F119*100&gt;100,100,G119/F119*100)</f>
        <v>#DIV/0!</v>
      </c>
      <c r="I119" s="638"/>
      <c r="J119" s="357" t="s">
        <v>172</v>
      </c>
      <c r="K119" s="361" t="s">
        <v>300</v>
      </c>
      <c r="L119" s="357" t="s">
        <v>38</v>
      </c>
      <c r="M119" s="227">
        <v>57395</v>
      </c>
      <c r="N119" s="227">
        <v>58543</v>
      </c>
      <c r="O119" s="367">
        <f t="shared" si="15"/>
        <v>102.0001742312048</v>
      </c>
      <c r="P119" s="49"/>
      <c r="Q119" s="49"/>
      <c r="R119" s="354"/>
      <c r="S119" s="639"/>
      <c r="T119" s="297"/>
    </row>
    <row r="120" spans="1:21" ht="39.75" customHeight="1" x14ac:dyDescent="0.25">
      <c r="A120" s="629"/>
      <c r="B120" s="630"/>
      <c r="C120" s="170"/>
      <c r="D120" s="21" t="s">
        <v>6</v>
      </c>
      <c r="E120" s="30"/>
      <c r="F120" s="225"/>
      <c r="G120" s="225"/>
      <c r="H120" s="222"/>
      <c r="I120" s="7">
        <f>H118</f>
        <v>100</v>
      </c>
      <c r="J120" s="30"/>
      <c r="K120" s="21" t="s">
        <v>6</v>
      </c>
      <c r="L120" s="30"/>
      <c r="M120" s="101"/>
      <c r="N120" s="101"/>
      <c r="O120" s="222"/>
      <c r="P120" s="7">
        <f>(O119+O118)/2</f>
        <v>105.65124990630007</v>
      </c>
      <c r="Q120" s="7">
        <f>(I120+P120)/2</f>
        <v>102.82562495315003</v>
      </c>
      <c r="R120" s="355" t="s">
        <v>31</v>
      </c>
      <c r="S120" s="639"/>
      <c r="T120" s="297"/>
    </row>
    <row r="121" spans="1:21" s="13" customFormat="1" ht="102.75" customHeight="1" x14ac:dyDescent="0.25">
      <c r="A121" s="629" t="s">
        <v>78</v>
      </c>
      <c r="B121" s="630" t="s">
        <v>236</v>
      </c>
      <c r="C121" s="369" t="s">
        <v>12</v>
      </c>
      <c r="D121" s="23" t="s">
        <v>237</v>
      </c>
      <c r="E121" s="357"/>
      <c r="F121" s="218"/>
      <c r="G121" s="218"/>
      <c r="H121" s="216"/>
      <c r="I121" s="49"/>
      <c r="J121" s="354" t="s">
        <v>12</v>
      </c>
      <c r="K121" s="22" t="str">
        <f>D121</f>
        <v>Реализация дополнительных общеобразовательных предпрофессиональных программ в области искусств - фортепиано</v>
      </c>
      <c r="L121" s="354"/>
      <c r="M121" s="38"/>
      <c r="N121" s="38"/>
      <c r="O121" s="216"/>
      <c r="P121" s="82"/>
      <c r="Q121" s="353"/>
      <c r="R121" s="354"/>
      <c r="S121" s="639" t="s">
        <v>280</v>
      </c>
      <c r="T121" s="297"/>
      <c r="U121" s="270"/>
    </row>
    <row r="122" spans="1:21" ht="116.25" customHeight="1" x14ac:dyDescent="0.25">
      <c r="A122" s="629"/>
      <c r="B122" s="630"/>
      <c r="C122" s="371" t="s">
        <v>7</v>
      </c>
      <c r="D122" s="377" t="s">
        <v>238</v>
      </c>
      <c r="E122" s="357" t="s">
        <v>25</v>
      </c>
      <c r="F122" s="15" t="s">
        <v>442</v>
      </c>
      <c r="G122" s="367">
        <v>56</v>
      </c>
      <c r="H122" s="367">
        <v>100</v>
      </c>
      <c r="I122" s="51"/>
      <c r="J122" s="357" t="s">
        <v>7</v>
      </c>
      <c r="K122" s="361" t="s">
        <v>360</v>
      </c>
      <c r="L122" s="357" t="s">
        <v>355</v>
      </c>
      <c r="M122" s="365">
        <v>19840.5</v>
      </c>
      <c r="N122" s="365">
        <v>19553</v>
      </c>
      <c r="O122" s="367">
        <f t="shared" si="15"/>
        <v>98.550943776618539</v>
      </c>
      <c r="P122" s="82"/>
      <c r="Q122" s="353"/>
      <c r="R122" s="354"/>
      <c r="S122" s="639"/>
      <c r="T122" s="297"/>
    </row>
    <row r="123" spans="1:21" ht="84" customHeight="1" x14ac:dyDescent="0.25">
      <c r="A123" s="629"/>
      <c r="B123" s="630"/>
      <c r="C123" s="371" t="s">
        <v>8</v>
      </c>
      <c r="D123" s="377" t="s">
        <v>34</v>
      </c>
      <c r="E123" s="357" t="s">
        <v>25</v>
      </c>
      <c r="F123" s="15" t="s">
        <v>354</v>
      </c>
      <c r="G123" s="366">
        <v>0</v>
      </c>
      <c r="H123" s="367">
        <v>100</v>
      </c>
      <c r="I123" s="51"/>
      <c r="J123" s="357"/>
      <c r="K123" s="361"/>
      <c r="L123" s="357"/>
      <c r="M123" s="357"/>
      <c r="N123" s="357"/>
      <c r="O123" s="367"/>
      <c r="P123" s="82"/>
      <c r="Q123" s="353"/>
      <c r="R123" s="354"/>
      <c r="S123" s="639"/>
      <c r="T123" s="297"/>
    </row>
    <row r="124" spans="1:21" s="16" customFormat="1" ht="33" x14ac:dyDescent="0.25">
      <c r="A124" s="629"/>
      <c r="B124" s="630"/>
      <c r="C124" s="171"/>
      <c r="D124" s="21" t="s">
        <v>6</v>
      </c>
      <c r="E124" s="30"/>
      <c r="F124" s="229"/>
      <c r="G124" s="230"/>
      <c r="H124" s="222"/>
      <c r="I124" s="7">
        <f>(H122+H123)/2</f>
        <v>100</v>
      </c>
      <c r="J124" s="30"/>
      <c r="K124" s="21" t="s">
        <v>6</v>
      </c>
      <c r="L124" s="30"/>
      <c r="M124" s="101"/>
      <c r="N124" s="101"/>
      <c r="O124" s="222"/>
      <c r="P124" s="7">
        <f>O122</f>
        <v>98.550943776618539</v>
      </c>
      <c r="Q124" s="7">
        <f>(I124+P124)/2</f>
        <v>99.275471888309269</v>
      </c>
      <c r="R124" s="355" t="s">
        <v>361</v>
      </c>
      <c r="S124" s="639"/>
      <c r="T124" s="297"/>
      <c r="U124" s="180"/>
    </row>
    <row r="125" spans="1:21" s="13" customFormat="1" ht="123" customHeight="1" x14ac:dyDescent="0.25">
      <c r="A125" s="629"/>
      <c r="B125" s="630"/>
      <c r="C125" s="369" t="s">
        <v>13</v>
      </c>
      <c r="D125" s="23" t="s">
        <v>239</v>
      </c>
      <c r="E125" s="357"/>
      <c r="F125" s="218"/>
      <c r="G125" s="218"/>
      <c r="H125" s="216"/>
      <c r="I125" s="49"/>
      <c r="J125" s="354" t="s">
        <v>13</v>
      </c>
      <c r="K125" s="22" t="str">
        <f>D125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25" s="354"/>
      <c r="M125" s="38"/>
      <c r="N125" s="38"/>
      <c r="O125" s="216"/>
      <c r="P125" s="82"/>
      <c r="Q125" s="353"/>
      <c r="R125" s="354"/>
      <c r="S125" s="639"/>
      <c r="T125" s="297"/>
      <c r="U125" s="270"/>
    </row>
    <row r="126" spans="1:21" ht="116.25" customHeight="1" x14ac:dyDescent="0.25">
      <c r="A126" s="629"/>
      <c r="B126" s="630"/>
      <c r="C126" s="371" t="s">
        <v>14</v>
      </c>
      <c r="D126" s="377" t="s">
        <v>238</v>
      </c>
      <c r="E126" s="357" t="s">
        <v>25</v>
      </c>
      <c r="F126" s="15" t="s">
        <v>442</v>
      </c>
      <c r="G126" s="367">
        <v>56</v>
      </c>
      <c r="H126" s="367">
        <v>100</v>
      </c>
      <c r="I126" s="51"/>
      <c r="J126" s="357" t="s">
        <v>14</v>
      </c>
      <c r="K126" s="361" t="s">
        <v>360</v>
      </c>
      <c r="L126" s="357" t="s">
        <v>355</v>
      </c>
      <c r="M126" s="365">
        <v>13702.5</v>
      </c>
      <c r="N126" s="365">
        <v>13777.5</v>
      </c>
      <c r="O126" s="367">
        <f t="shared" si="15"/>
        <v>100.54734537493158</v>
      </c>
      <c r="P126" s="82"/>
      <c r="Q126" s="353"/>
      <c r="R126" s="354"/>
      <c r="S126" s="639"/>
      <c r="T126" s="297"/>
    </row>
    <row r="127" spans="1:21" ht="74.25" customHeight="1" x14ac:dyDescent="0.25">
      <c r="A127" s="629"/>
      <c r="B127" s="630"/>
      <c r="C127" s="371" t="s">
        <v>15</v>
      </c>
      <c r="D127" s="377" t="s">
        <v>34</v>
      </c>
      <c r="E127" s="357" t="s">
        <v>25</v>
      </c>
      <c r="F127" s="15" t="s">
        <v>354</v>
      </c>
      <c r="G127" s="366">
        <v>0</v>
      </c>
      <c r="H127" s="367">
        <v>100</v>
      </c>
      <c r="I127" s="51"/>
      <c r="J127" s="357"/>
      <c r="K127" s="361"/>
      <c r="L127" s="357"/>
      <c r="M127" s="38"/>
      <c r="N127" s="38"/>
      <c r="O127" s="367"/>
      <c r="P127" s="83"/>
      <c r="Q127" s="353"/>
      <c r="R127" s="354"/>
      <c r="S127" s="639"/>
      <c r="T127" s="297"/>
    </row>
    <row r="128" spans="1:21" s="16" customFormat="1" ht="33" x14ac:dyDescent="0.25">
      <c r="A128" s="629"/>
      <c r="B128" s="630"/>
      <c r="C128" s="171"/>
      <c r="D128" s="21" t="s">
        <v>6</v>
      </c>
      <c r="E128" s="30"/>
      <c r="F128" s="229"/>
      <c r="G128" s="230"/>
      <c r="H128" s="222"/>
      <c r="I128" s="7">
        <f>(H126+H127)/2</f>
        <v>100</v>
      </c>
      <c r="J128" s="30"/>
      <c r="K128" s="21" t="s">
        <v>6</v>
      </c>
      <c r="L128" s="30"/>
      <c r="M128" s="101"/>
      <c r="N128" s="101"/>
      <c r="O128" s="222"/>
      <c r="P128" s="7">
        <f>O126</f>
        <v>100.54734537493158</v>
      </c>
      <c r="Q128" s="7">
        <f>(I128+P128)/2</f>
        <v>100.27367268746579</v>
      </c>
      <c r="R128" s="355" t="s">
        <v>31</v>
      </c>
      <c r="S128" s="639"/>
      <c r="T128" s="297"/>
      <c r="U128" s="180"/>
    </row>
    <row r="129" spans="1:21" s="13" customFormat="1" ht="97.5" customHeight="1" x14ac:dyDescent="0.25">
      <c r="A129" s="629"/>
      <c r="B129" s="630"/>
      <c r="C129" s="369" t="s">
        <v>28</v>
      </c>
      <c r="D129" s="23" t="s">
        <v>240</v>
      </c>
      <c r="E129" s="357"/>
      <c r="F129" s="218"/>
      <c r="G129" s="218"/>
      <c r="H129" s="216"/>
      <c r="I129" s="49"/>
      <c r="J129" s="354" t="str">
        <f>C129</f>
        <v>III</v>
      </c>
      <c r="K129" s="22" t="str">
        <f>D129</f>
        <v>Реализация дополнительных общеобразовательных предпрофессиональных программ в области искусств - струнные инструменты</v>
      </c>
      <c r="L129" s="354"/>
      <c r="M129" s="38"/>
      <c r="N129" s="38"/>
      <c r="O129" s="216"/>
      <c r="P129" s="82"/>
      <c r="Q129" s="353"/>
      <c r="R129" s="354"/>
      <c r="S129" s="639"/>
      <c r="T129" s="297"/>
      <c r="U129" s="270"/>
    </row>
    <row r="130" spans="1:21" ht="117" customHeight="1" x14ac:dyDescent="0.25">
      <c r="A130" s="629"/>
      <c r="B130" s="630"/>
      <c r="C130" s="371" t="s">
        <v>29</v>
      </c>
      <c r="D130" s="377" t="s">
        <v>238</v>
      </c>
      <c r="E130" s="357" t="s">
        <v>25</v>
      </c>
      <c r="F130" s="358" t="s">
        <v>442</v>
      </c>
      <c r="G130" s="367">
        <v>56</v>
      </c>
      <c r="H130" s="367">
        <v>100</v>
      </c>
      <c r="I130" s="51"/>
      <c r="J130" s="357" t="str">
        <f>C130</f>
        <v>3.1.</v>
      </c>
      <c r="K130" s="547" t="s">
        <v>360</v>
      </c>
      <c r="L130" s="357" t="s">
        <v>355</v>
      </c>
      <c r="M130" s="237">
        <v>18271.5</v>
      </c>
      <c r="N130" s="365">
        <v>18581</v>
      </c>
      <c r="O130" s="367">
        <f t="shared" si="15"/>
        <v>101.69389486358536</v>
      </c>
      <c r="P130" s="84"/>
      <c r="Q130" s="353"/>
      <c r="R130" s="354"/>
      <c r="S130" s="639"/>
      <c r="T130" s="297"/>
    </row>
    <row r="131" spans="1:21" ht="66" customHeight="1" x14ac:dyDescent="0.25">
      <c r="A131" s="629"/>
      <c r="B131" s="630"/>
      <c r="C131" s="371" t="s">
        <v>30</v>
      </c>
      <c r="D131" s="377" t="s">
        <v>34</v>
      </c>
      <c r="E131" s="357" t="s">
        <v>25</v>
      </c>
      <c r="F131" s="15" t="s">
        <v>354</v>
      </c>
      <c r="G131" s="366">
        <v>0</v>
      </c>
      <c r="H131" s="367">
        <v>100</v>
      </c>
      <c r="I131" s="51"/>
      <c r="J131" s="357"/>
      <c r="K131" s="361"/>
      <c r="L131" s="357"/>
      <c r="M131" s="357"/>
      <c r="N131" s="357"/>
      <c r="O131" s="367"/>
      <c r="P131" s="84"/>
      <c r="Q131" s="353"/>
      <c r="R131" s="354"/>
      <c r="S131" s="639"/>
      <c r="T131" s="297"/>
    </row>
    <row r="132" spans="1:21" s="16" customFormat="1" ht="33" x14ac:dyDescent="0.25">
      <c r="A132" s="629"/>
      <c r="B132" s="630"/>
      <c r="C132" s="171"/>
      <c r="D132" s="21" t="s">
        <v>6</v>
      </c>
      <c r="E132" s="30"/>
      <c r="F132" s="229"/>
      <c r="G132" s="230"/>
      <c r="H132" s="222"/>
      <c r="I132" s="7">
        <f>(H130+H131)/2</f>
        <v>100</v>
      </c>
      <c r="J132" s="30"/>
      <c r="K132" s="21" t="s">
        <v>6</v>
      </c>
      <c r="L132" s="30"/>
      <c r="M132" s="101"/>
      <c r="N132" s="101"/>
      <c r="O132" s="222"/>
      <c r="P132" s="7">
        <f>O130</f>
        <v>101.69389486358536</v>
      </c>
      <c r="Q132" s="7">
        <f>(I132+P132)/2</f>
        <v>100.84694743179267</v>
      </c>
      <c r="R132" s="355" t="s">
        <v>31</v>
      </c>
      <c r="S132" s="639"/>
      <c r="T132" s="297"/>
      <c r="U132" s="180"/>
    </row>
    <row r="133" spans="1:21" s="13" customFormat="1" ht="99.75" customHeight="1" x14ac:dyDescent="0.25">
      <c r="A133" s="629"/>
      <c r="B133" s="630"/>
      <c r="C133" s="369" t="s">
        <v>42</v>
      </c>
      <c r="D133" s="23" t="s">
        <v>241</v>
      </c>
      <c r="E133" s="357"/>
      <c r="F133" s="218"/>
      <c r="G133" s="218"/>
      <c r="H133" s="216"/>
      <c r="I133" s="49"/>
      <c r="J133" s="354" t="str">
        <f>C133</f>
        <v>IV</v>
      </c>
      <c r="K133" s="22" t="str">
        <f>D133</f>
        <v>Реализация дополнительных общеобразовательных предпрофессиональных программ в области искусств - народные инструменты</v>
      </c>
      <c r="L133" s="354"/>
      <c r="M133" s="38"/>
      <c r="N133" s="38"/>
      <c r="O133" s="216"/>
      <c r="P133" s="82"/>
      <c r="Q133" s="353"/>
      <c r="R133" s="58"/>
      <c r="S133" s="639"/>
      <c r="T133" s="297"/>
      <c r="U133" s="270"/>
    </row>
    <row r="134" spans="1:21" ht="108" customHeight="1" x14ac:dyDescent="0.25">
      <c r="A134" s="629"/>
      <c r="B134" s="630"/>
      <c r="C134" s="371" t="s">
        <v>43</v>
      </c>
      <c r="D134" s="377" t="s">
        <v>238</v>
      </c>
      <c r="E134" s="357" t="s">
        <v>25</v>
      </c>
      <c r="F134" s="358" t="s">
        <v>442</v>
      </c>
      <c r="G134" s="367">
        <v>56</v>
      </c>
      <c r="H134" s="367">
        <v>100</v>
      </c>
      <c r="I134" s="51"/>
      <c r="J134" s="357" t="str">
        <f>C134</f>
        <v>4.1.</v>
      </c>
      <c r="K134" s="547" t="s">
        <v>360</v>
      </c>
      <c r="L134" s="357" t="s">
        <v>355</v>
      </c>
      <c r="M134" s="365">
        <v>16249</v>
      </c>
      <c r="N134" s="365">
        <v>15624</v>
      </c>
      <c r="O134" s="367">
        <f t="shared" si="15"/>
        <v>96.153609452889413</v>
      </c>
      <c r="P134" s="84"/>
      <c r="Q134" s="353"/>
      <c r="R134" s="354"/>
      <c r="S134" s="639"/>
      <c r="T134" s="297"/>
    </row>
    <row r="135" spans="1:21" ht="73.5" customHeight="1" x14ac:dyDescent="0.25">
      <c r="A135" s="629"/>
      <c r="B135" s="630"/>
      <c r="C135" s="371" t="s">
        <v>137</v>
      </c>
      <c r="D135" s="377" t="s">
        <v>34</v>
      </c>
      <c r="E135" s="357" t="s">
        <v>25</v>
      </c>
      <c r="F135" s="15" t="s">
        <v>354</v>
      </c>
      <c r="G135" s="366">
        <v>0</v>
      </c>
      <c r="H135" s="367">
        <v>100</v>
      </c>
      <c r="I135" s="51"/>
      <c r="J135" s="357"/>
      <c r="K135" s="361"/>
      <c r="L135" s="357"/>
      <c r="M135" s="357"/>
      <c r="N135" s="357"/>
      <c r="O135" s="367"/>
      <c r="P135" s="84"/>
      <c r="Q135" s="353"/>
      <c r="R135" s="354"/>
      <c r="S135" s="639"/>
      <c r="T135" s="297"/>
    </row>
    <row r="136" spans="1:21" s="16" customFormat="1" ht="41.25" customHeight="1" x14ac:dyDescent="0.25">
      <c r="A136" s="629"/>
      <c r="B136" s="630"/>
      <c r="C136" s="171"/>
      <c r="D136" s="21" t="s">
        <v>6</v>
      </c>
      <c r="E136" s="30"/>
      <c r="F136" s="229"/>
      <c r="G136" s="230"/>
      <c r="H136" s="222"/>
      <c r="I136" s="7">
        <f>(H134+H135)/2</f>
        <v>100</v>
      </c>
      <c r="J136" s="30"/>
      <c r="K136" s="21" t="s">
        <v>6</v>
      </c>
      <c r="L136" s="30"/>
      <c r="M136" s="101"/>
      <c r="N136" s="101"/>
      <c r="O136" s="222"/>
      <c r="P136" s="7">
        <f>O134</f>
        <v>96.153609452889413</v>
      </c>
      <c r="Q136" s="7">
        <f>(I136+P136)/2</f>
        <v>98.076804726444706</v>
      </c>
      <c r="R136" s="355" t="s">
        <v>361</v>
      </c>
      <c r="S136" s="639"/>
      <c r="T136" s="297"/>
      <c r="U136" s="180"/>
    </row>
    <row r="137" spans="1:21" s="16" customFormat="1" ht="90" customHeight="1" x14ac:dyDescent="0.25">
      <c r="A137" s="629"/>
      <c r="B137" s="630"/>
      <c r="C137" s="257" t="s">
        <v>164</v>
      </c>
      <c r="D137" s="23" t="s">
        <v>554</v>
      </c>
      <c r="E137" s="357"/>
      <c r="F137" s="218"/>
      <c r="G137" s="218"/>
      <c r="H137" s="216"/>
      <c r="I137" s="49"/>
      <c r="J137" s="354" t="str">
        <f>C137</f>
        <v>V</v>
      </c>
      <c r="K137" s="22" t="str">
        <f>D137</f>
        <v>Реализация дополнительных общеобразовательных предпрофессиональных программ в области искусств - музыкальный фольклор</v>
      </c>
      <c r="L137" s="354"/>
      <c r="M137" s="38"/>
      <c r="N137" s="38"/>
      <c r="O137" s="216"/>
      <c r="P137" s="82"/>
      <c r="Q137" s="353"/>
      <c r="R137" s="58"/>
      <c r="S137" s="639"/>
      <c r="T137" s="297"/>
      <c r="U137" s="180"/>
    </row>
    <row r="138" spans="1:21" s="16" customFormat="1" ht="135" customHeight="1" x14ac:dyDescent="0.25">
      <c r="A138" s="629"/>
      <c r="B138" s="630"/>
      <c r="C138" s="379" t="s">
        <v>580</v>
      </c>
      <c r="D138" s="377" t="s">
        <v>238</v>
      </c>
      <c r="E138" s="357" t="s">
        <v>25</v>
      </c>
      <c r="F138" s="358" t="s">
        <v>442</v>
      </c>
      <c r="G138" s="367">
        <v>56</v>
      </c>
      <c r="H138" s="367">
        <v>100</v>
      </c>
      <c r="I138" s="51"/>
      <c r="J138" s="357" t="str">
        <f>C138</f>
        <v>5.1</v>
      </c>
      <c r="K138" s="547" t="s">
        <v>360</v>
      </c>
      <c r="L138" s="357" t="s">
        <v>355</v>
      </c>
      <c r="M138" s="365">
        <v>4914</v>
      </c>
      <c r="N138" s="365">
        <v>4914</v>
      </c>
      <c r="O138" s="367">
        <f t="shared" ref="O138" si="21">IF(N138/M138*100&gt;110,110,N138/M138*100)</f>
        <v>100</v>
      </c>
      <c r="P138" s="84"/>
      <c r="Q138" s="353"/>
      <c r="R138" s="354"/>
      <c r="S138" s="639"/>
      <c r="T138" s="297"/>
      <c r="U138" s="180"/>
    </row>
    <row r="139" spans="1:21" s="16" customFormat="1" ht="61.5" customHeight="1" x14ac:dyDescent="0.25">
      <c r="A139" s="629"/>
      <c r="B139" s="630"/>
      <c r="C139" s="379" t="s">
        <v>581</v>
      </c>
      <c r="D139" s="377" t="s">
        <v>34</v>
      </c>
      <c r="E139" s="357" t="s">
        <v>25</v>
      </c>
      <c r="F139" s="15" t="s">
        <v>354</v>
      </c>
      <c r="G139" s="366">
        <v>0</v>
      </c>
      <c r="H139" s="367">
        <v>100</v>
      </c>
      <c r="I139" s="51"/>
      <c r="J139" s="357"/>
      <c r="K139" s="361"/>
      <c r="L139" s="357"/>
      <c r="M139" s="357"/>
      <c r="N139" s="357"/>
      <c r="O139" s="367"/>
      <c r="P139" s="84"/>
      <c r="Q139" s="353"/>
      <c r="R139" s="354"/>
      <c r="S139" s="639"/>
      <c r="T139" s="297"/>
      <c r="U139" s="180"/>
    </row>
    <row r="140" spans="1:21" s="16" customFormat="1" ht="41.25" customHeight="1" x14ac:dyDescent="0.25">
      <c r="A140" s="629"/>
      <c r="B140" s="630"/>
      <c r="C140" s="171"/>
      <c r="D140" s="21" t="s">
        <v>6</v>
      </c>
      <c r="E140" s="30"/>
      <c r="F140" s="229"/>
      <c r="G140" s="230"/>
      <c r="H140" s="222"/>
      <c r="I140" s="7">
        <f>(H138+H139)/2</f>
        <v>100</v>
      </c>
      <c r="J140" s="30"/>
      <c r="K140" s="21" t="s">
        <v>6</v>
      </c>
      <c r="L140" s="30"/>
      <c r="M140" s="101"/>
      <c r="N140" s="101"/>
      <c r="O140" s="222"/>
      <c r="P140" s="7">
        <f>O138</f>
        <v>100</v>
      </c>
      <c r="Q140" s="7">
        <f>(I140+P140)/2</f>
        <v>100</v>
      </c>
      <c r="R140" s="355" t="s">
        <v>31</v>
      </c>
      <c r="S140" s="639"/>
      <c r="T140" s="297"/>
      <c r="U140" s="180"/>
    </row>
    <row r="141" spans="1:21" s="16" customFormat="1" ht="90" customHeight="1" x14ac:dyDescent="0.25">
      <c r="A141" s="629"/>
      <c r="B141" s="630"/>
      <c r="C141" s="257" t="s">
        <v>170</v>
      </c>
      <c r="D141" s="23" t="s">
        <v>582</v>
      </c>
      <c r="E141" s="357"/>
      <c r="F141" s="218"/>
      <c r="G141" s="218"/>
      <c r="H141" s="216"/>
      <c r="I141" s="49"/>
      <c r="J141" s="354" t="str">
        <f>C141</f>
        <v>VI</v>
      </c>
      <c r="K141" s="22" t="str">
        <f>D141</f>
        <v>Реализация дополнительных общеобразовательных предпрофессиональных программ в области искусств - хоровое пение</v>
      </c>
      <c r="L141" s="354"/>
      <c r="M141" s="38"/>
      <c r="N141" s="38"/>
      <c r="O141" s="216"/>
      <c r="P141" s="82"/>
      <c r="Q141" s="353"/>
      <c r="R141" s="58"/>
      <c r="S141" s="639"/>
      <c r="T141" s="297"/>
      <c r="U141" s="180"/>
    </row>
    <row r="142" spans="1:21" s="16" customFormat="1" ht="135" customHeight="1" x14ac:dyDescent="0.25">
      <c r="A142" s="629"/>
      <c r="B142" s="630"/>
      <c r="C142" s="379" t="s">
        <v>566</v>
      </c>
      <c r="D142" s="377" t="s">
        <v>238</v>
      </c>
      <c r="E142" s="357" t="s">
        <v>25</v>
      </c>
      <c r="F142" s="358" t="s">
        <v>442</v>
      </c>
      <c r="G142" s="367">
        <v>56</v>
      </c>
      <c r="H142" s="367">
        <v>100</v>
      </c>
      <c r="I142" s="51"/>
      <c r="J142" s="357" t="str">
        <f>C142</f>
        <v>6.1</v>
      </c>
      <c r="K142" s="547" t="s">
        <v>360</v>
      </c>
      <c r="L142" s="357" t="s">
        <v>355</v>
      </c>
      <c r="M142" s="365">
        <v>2145</v>
      </c>
      <c r="N142" s="365">
        <v>2360</v>
      </c>
      <c r="O142" s="367">
        <f>IF(N142/M142*100&gt;110,110,N142/M142*100)</f>
        <v>110</v>
      </c>
      <c r="P142" s="84"/>
      <c r="Q142" s="353"/>
      <c r="R142" s="354"/>
      <c r="S142" s="639"/>
      <c r="T142" s="297"/>
      <c r="U142" s="180"/>
    </row>
    <row r="143" spans="1:21" s="16" customFormat="1" ht="61.5" customHeight="1" x14ac:dyDescent="0.25">
      <c r="A143" s="629"/>
      <c r="B143" s="630"/>
      <c r="C143" s="379" t="s">
        <v>583</v>
      </c>
      <c r="D143" s="377" t="s">
        <v>34</v>
      </c>
      <c r="E143" s="357" t="s">
        <v>25</v>
      </c>
      <c r="F143" s="15" t="s">
        <v>354</v>
      </c>
      <c r="G143" s="366">
        <v>0</v>
      </c>
      <c r="H143" s="367">
        <v>100</v>
      </c>
      <c r="I143" s="51"/>
      <c r="J143" s="357"/>
      <c r="K143" s="361"/>
      <c r="L143" s="357"/>
      <c r="M143" s="357"/>
      <c r="N143" s="357"/>
      <c r="O143" s="367"/>
      <c r="P143" s="84"/>
      <c r="Q143" s="353"/>
      <c r="R143" s="354"/>
      <c r="S143" s="639"/>
      <c r="T143" s="297"/>
      <c r="U143" s="180"/>
    </row>
    <row r="144" spans="1:21" s="16" customFormat="1" ht="41.25" customHeight="1" x14ac:dyDescent="0.25">
      <c r="A144" s="629"/>
      <c r="B144" s="630"/>
      <c r="C144" s="171"/>
      <c r="D144" s="21" t="s">
        <v>6</v>
      </c>
      <c r="E144" s="30"/>
      <c r="F144" s="229"/>
      <c r="G144" s="230"/>
      <c r="H144" s="222"/>
      <c r="I144" s="7">
        <f>(H142+H143)/2</f>
        <v>100</v>
      </c>
      <c r="J144" s="30"/>
      <c r="K144" s="21" t="s">
        <v>6</v>
      </c>
      <c r="L144" s="30"/>
      <c r="M144" s="101"/>
      <c r="N144" s="101"/>
      <c r="O144" s="222"/>
      <c r="P144" s="7">
        <f>O142</f>
        <v>110</v>
      </c>
      <c r="Q144" s="7">
        <f>(I144+P144)/2</f>
        <v>105</v>
      </c>
      <c r="R144" s="355" t="s">
        <v>31</v>
      </c>
      <c r="S144" s="639"/>
      <c r="T144" s="297"/>
      <c r="U144" s="180"/>
    </row>
    <row r="145" spans="1:21" s="13" customFormat="1" ht="75" customHeight="1" x14ac:dyDescent="0.25">
      <c r="A145" s="629"/>
      <c r="B145" s="630"/>
      <c r="C145" s="369" t="s">
        <v>207</v>
      </c>
      <c r="D145" s="23" t="s">
        <v>440</v>
      </c>
      <c r="E145" s="357"/>
      <c r="F145" s="218"/>
      <c r="G145" s="218"/>
      <c r="H145" s="216"/>
      <c r="I145" s="49"/>
      <c r="J145" s="354" t="str">
        <f>C145</f>
        <v>VII</v>
      </c>
      <c r="K145" s="22" t="str">
        <f>D145</f>
        <v>Реализация дополнительных общеобразовательных общеразвивающих программ</v>
      </c>
      <c r="L145" s="354"/>
      <c r="M145" s="38"/>
      <c r="N145" s="38"/>
      <c r="O145" s="216"/>
      <c r="P145" s="82"/>
      <c r="Q145" s="353"/>
      <c r="R145" s="354"/>
      <c r="S145" s="639"/>
      <c r="T145" s="297"/>
      <c r="U145" s="270"/>
    </row>
    <row r="146" spans="1:21" ht="105.75" customHeight="1" x14ac:dyDescent="0.25">
      <c r="A146" s="629"/>
      <c r="B146" s="630"/>
      <c r="C146" s="418" t="s">
        <v>567</v>
      </c>
      <c r="D146" s="377" t="s">
        <v>243</v>
      </c>
      <c r="E146" s="357" t="s">
        <v>25</v>
      </c>
      <c r="F146" s="358" t="s">
        <v>584</v>
      </c>
      <c r="G146" s="226">
        <v>44</v>
      </c>
      <c r="H146" s="367">
        <v>100</v>
      </c>
      <c r="I146" s="51"/>
      <c r="J146" s="357" t="str">
        <f>C146</f>
        <v>7.1</v>
      </c>
      <c r="K146" s="547" t="s">
        <v>360</v>
      </c>
      <c r="L146" s="357" t="s">
        <v>204</v>
      </c>
      <c r="M146" s="365">
        <v>60780</v>
      </c>
      <c r="N146" s="365">
        <v>62576</v>
      </c>
      <c r="O146" s="367">
        <f t="shared" si="15"/>
        <v>102.95491938137545</v>
      </c>
      <c r="P146" s="84"/>
      <c r="Q146" s="353"/>
      <c r="R146" s="354"/>
      <c r="S146" s="639"/>
      <c r="T146" s="297"/>
    </row>
    <row r="147" spans="1:21" ht="68.25" customHeight="1" x14ac:dyDescent="0.25">
      <c r="A147" s="629"/>
      <c r="B147" s="630"/>
      <c r="C147" s="418" t="s">
        <v>585</v>
      </c>
      <c r="D147" s="377" t="s">
        <v>34</v>
      </c>
      <c r="E147" s="357" t="s">
        <v>25</v>
      </c>
      <c r="F147" s="15" t="s">
        <v>354</v>
      </c>
      <c r="G147" s="366">
        <v>0</v>
      </c>
      <c r="H147" s="367">
        <v>100</v>
      </c>
      <c r="I147" s="51"/>
      <c r="J147" s="357"/>
      <c r="K147" s="361"/>
      <c r="L147" s="357"/>
      <c r="M147" s="357"/>
      <c r="N147" s="357"/>
      <c r="O147" s="367"/>
      <c r="P147" s="84"/>
      <c r="Q147" s="353"/>
      <c r="R147" s="354"/>
      <c r="S147" s="639"/>
      <c r="T147" s="297"/>
    </row>
    <row r="148" spans="1:21" ht="25.5" customHeight="1" x14ac:dyDescent="0.25">
      <c r="A148" s="629"/>
      <c r="B148" s="630"/>
      <c r="C148" s="418" t="s">
        <v>586</v>
      </c>
      <c r="D148" s="377" t="s">
        <v>485</v>
      </c>
      <c r="E148" s="357" t="s">
        <v>38</v>
      </c>
      <c r="F148" s="236">
        <v>203</v>
      </c>
      <c r="G148" s="218">
        <v>209</v>
      </c>
      <c r="H148" s="367">
        <f>IF(G148/F148*100&gt;100,100,G148/F148*100)</f>
        <v>100</v>
      </c>
      <c r="I148" s="51"/>
      <c r="J148" s="357"/>
      <c r="K148" s="361"/>
      <c r="L148" s="357"/>
      <c r="M148" s="357"/>
      <c r="N148" s="357"/>
      <c r="O148" s="367"/>
      <c r="P148" s="84"/>
      <c r="Q148" s="353"/>
      <c r="R148" s="354"/>
      <c r="S148" s="639"/>
      <c r="T148" s="297"/>
    </row>
    <row r="149" spans="1:21" s="16" customFormat="1" ht="41.25" customHeight="1" x14ac:dyDescent="0.25">
      <c r="A149" s="629"/>
      <c r="B149" s="630"/>
      <c r="C149" s="171"/>
      <c r="D149" s="21" t="s">
        <v>6</v>
      </c>
      <c r="E149" s="30"/>
      <c r="F149" s="229"/>
      <c r="G149" s="230"/>
      <c r="H149" s="222"/>
      <c r="I149" s="7">
        <f>(H146+H147+H148)/3</f>
        <v>100</v>
      </c>
      <c r="J149" s="30"/>
      <c r="K149" s="21" t="s">
        <v>6</v>
      </c>
      <c r="L149" s="30"/>
      <c r="M149" s="101"/>
      <c r="N149" s="101"/>
      <c r="O149" s="222"/>
      <c r="P149" s="7">
        <f>O146</f>
        <v>102.95491938137545</v>
      </c>
      <c r="Q149" s="7">
        <f>(I149+P149)/2</f>
        <v>101.47745969068772</v>
      </c>
      <c r="R149" s="355" t="s">
        <v>31</v>
      </c>
      <c r="S149" s="639"/>
      <c r="T149" s="297"/>
      <c r="U149" s="180"/>
    </row>
    <row r="150" spans="1:21" s="13" customFormat="1" ht="83.25" customHeight="1" x14ac:dyDescent="0.25">
      <c r="A150" s="629" t="s">
        <v>79</v>
      </c>
      <c r="B150" s="630" t="s">
        <v>244</v>
      </c>
      <c r="C150" s="369" t="s">
        <v>12</v>
      </c>
      <c r="D150" s="23" t="s">
        <v>245</v>
      </c>
      <c r="E150" s="357"/>
      <c r="F150" s="218"/>
      <c r="G150" s="218"/>
      <c r="H150" s="216"/>
      <c r="I150" s="49"/>
      <c r="J150" s="354" t="s">
        <v>12</v>
      </c>
      <c r="K150" s="22" t="str">
        <f>D150</f>
        <v>Реализация дополнительных общеобразовательных предпрофессиональных программ в области искусств - живопись</v>
      </c>
      <c r="L150" s="354"/>
      <c r="M150" s="38"/>
      <c r="N150" s="38"/>
      <c r="O150" s="216"/>
      <c r="P150" s="82"/>
      <c r="Q150" s="353"/>
      <c r="R150" s="354"/>
      <c r="S150" s="639" t="s">
        <v>280</v>
      </c>
      <c r="T150" s="297"/>
      <c r="U150" s="270"/>
    </row>
    <row r="151" spans="1:21" ht="118.5" customHeight="1" x14ac:dyDescent="0.25">
      <c r="A151" s="629"/>
      <c r="B151" s="630"/>
      <c r="C151" s="371" t="s">
        <v>7</v>
      </c>
      <c r="D151" s="377" t="s">
        <v>238</v>
      </c>
      <c r="E151" s="357" t="s">
        <v>25</v>
      </c>
      <c r="F151" s="15" t="s">
        <v>442</v>
      </c>
      <c r="G151" s="367">
        <v>71</v>
      </c>
      <c r="H151" s="367">
        <v>100</v>
      </c>
      <c r="I151" s="51"/>
      <c r="J151" s="357" t="s">
        <v>7</v>
      </c>
      <c r="K151" s="547" t="s">
        <v>360</v>
      </c>
      <c r="L151" s="357" t="s">
        <v>355</v>
      </c>
      <c r="M151" s="237">
        <v>63901.39</v>
      </c>
      <c r="N151" s="237">
        <v>63531.4</v>
      </c>
      <c r="O151" s="367">
        <f t="shared" ref="O151:O217" si="22">IF(N151/M151*100&gt;110,110,N151/M151*100)</f>
        <v>99.420998510361045</v>
      </c>
      <c r="P151" s="84"/>
      <c r="Q151" s="353"/>
      <c r="R151" s="354"/>
      <c r="S151" s="639"/>
      <c r="T151" s="297"/>
    </row>
    <row r="152" spans="1:21" ht="62.25" customHeight="1" x14ac:dyDescent="0.25">
      <c r="A152" s="629"/>
      <c r="B152" s="630"/>
      <c r="C152" s="371" t="s">
        <v>8</v>
      </c>
      <c r="D152" s="377" t="s">
        <v>34</v>
      </c>
      <c r="E152" s="357" t="s">
        <v>25</v>
      </c>
      <c r="F152" s="15" t="s">
        <v>354</v>
      </c>
      <c r="G152" s="366">
        <v>0</v>
      </c>
      <c r="H152" s="367">
        <v>100</v>
      </c>
      <c r="I152" s="51"/>
      <c r="J152" s="357"/>
      <c r="K152" s="361"/>
      <c r="L152" s="357"/>
      <c r="M152" s="357"/>
      <c r="N152" s="357"/>
      <c r="O152" s="367"/>
      <c r="P152" s="84"/>
      <c r="Q152" s="353"/>
      <c r="R152" s="354"/>
      <c r="S152" s="639"/>
      <c r="T152" s="297"/>
    </row>
    <row r="153" spans="1:21" s="16" customFormat="1" ht="33" x14ac:dyDescent="0.25">
      <c r="A153" s="629"/>
      <c r="B153" s="630"/>
      <c r="C153" s="171"/>
      <c r="D153" s="21" t="s">
        <v>6</v>
      </c>
      <c r="E153" s="30"/>
      <c r="F153" s="100"/>
      <c r="G153" s="230"/>
      <c r="H153" s="222"/>
      <c r="I153" s="7">
        <f>(H151+H152)/2</f>
        <v>100</v>
      </c>
      <c r="J153" s="30"/>
      <c r="K153" s="21" t="s">
        <v>6</v>
      </c>
      <c r="L153" s="30"/>
      <c r="M153" s="101"/>
      <c r="N153" s="101"/>
      <c r="O153" s="222"/>
      <c r="P153" s="7">
        <f>O151</f>
        <v>99.420998510361045</v>
      </c>
      <c r="Q153" s="7">
        <f>(I153+P153)/2</f>
        <v>99.710499255180522</v>
      </c>
      <c r="R153" s="355" t="s">
        <v>361</v>
      </c>
      <c r="S153" s="639"/>
      <c r="T153" s="297"/>
      <c r="U153" s="180"/>
    </row>
    <row r="154" spans="1:21" s="13" customFormat="1" ht="104.25" customHeight="1" x14ac:dyDescent="0.25">
      <c r="A154" s="629"/>
      <c r="B154" s="630"/>
      <c r="C154" s="369" t="s">
        <v>13</v>
      </c>
      <c r="D154" s="23" t="s">
        <v>246</v>
      </c>
      <c r="E154" s="357"/>
      <c r="F154" s="15"/>
      <c r="G154" s="218"/>
      <c r="H154" s="216"/>
      <c r="I154" s="49"/>
      <c r="J154" s="354" t="s">
        <v>13</v>
      </c>
      <c r="K154" s="22" t="str">
        <f>D154</f>
        <v>Реализация дополнительных общеобразовательных предпрофессиональных программ в области искусств - дизайн</v>
      </c>
      <c r="L154" s="354"/>
      <c r="M154" s="38"/>
      <c r="N154" s="38"/>
      <c r="O154" s="216"/>
      <c r="P154" s="82"/>
      <c r="Q154" s="353"/>
      <c r="R154" s="354"/>
      <c r="S154" s="639"/>
      <c r="T154" s="297"/>
      <c r="U154" s="270"/>
    </row>
    <row r="155" spans="1:21" ht="120" customHeight="1" x14ac:dyDescent="0.25">
      <c r="A155" s="629"/>
      <c r="B155" s="630"/>
      <c r="C155" s="371" t="s">
        <v>14</v>
      </c>
      <c r="D155" s="377" t="s">
        <v>238</v>
      </c>
      <c r="E155" s="357" t="s">
        <v>25</v>
      </c>
      <c r="F155" s="15" t="s">
        <v>442</v>
      </c>
      <c r="G155" s="367">
        <v>71</v>
      </c>
      <c r="H155" s="367">
        <v>100</v>
      </c>
      <c r="I155" s="51"/>
      <c r="J155" s="357" t="s">
        <v>14</v>
      </c>
      <c r="K155" s="547" t="s">
        <v>360</v>
      </c>
      <c r="L155" s="357" t="s">
        <v>355</v>
      </c>
      <c r="M155" s="237">
        <v>37493.300000000003</v>
      </c>
      <c r="N155" s="237">
        <v>37100.6</v>
      </c>
      <c r="O155" s="367">
        <f t="shared" si="22"/>
        <v>98.952612866832197</v>
      </c>
      <c r="P155" s="84"/>
      <c r="Q155" s="353"/>
      <c r="R155" s="354"/>
      <c r="S155" s="639"/>
      <c r="T155" s="297"/>
    </row>
    <row r="156" spans="1:21" ht="79.5" customHeight="1" x14ac:dyDescent="0.25">
      <c r="A156" s="629"/>
      <c r="B156" s="630"/>
      <c r="C156" s="371" t="s">
        <v>15</v>
      </c>
      <c r="D156" s="377" t="s">
        <v>34</v>
      </c>
      <c r="E156" s="357" t="s">
        <v>25</v>
      </c>
      <c r="F156" s="15" t="s">
        <v>354</v>
      </c>
      <c r="G156" s="366">
        <v>0</v>
      </c>
      <c r="H156" s="367">
        <v>100</v>
      </c>
      <c r="I156" s="51"/>
      <c r="J156" s="357"/>
      <c r="K156" s="361"/>
      <c r="L156" s="357"/>
      <c r="M156" s="357"/>
      <c r="N156" s="357"/>
      <c r="O156" s="367"/>
      <c r="P156" s="84"/>
      <c r="Q156" s="353"/>
      <c r="R156" s="354"/>
      <c r="S156" s="639"/>
      <c r="T156" s="297"/>
    </row>
    <row r="157" spans="1:21" s="16" customFormat="1" ht="33" x14ac:dyDescent="0.25">
      <c r="A157" s="629"/>
      <c r="B157" s="630"/>
      <c r="C157" s="171"/>
      <c r="D157" s="21" t="s">
        <v>6</v>
      </c>
      <c r="E157" s="30"/>
      <c r="F157" s="100"/>
      <c r="G157" s="230"/>
      <c r="H157" s="222"/>
      <c r="I157" s="7">
        <f>(H155+H156)/2</f>
        <v>100</v>
      </c>
      <c r="J157" s="30"/>
      <c r="K157" s="21" t="s">
        <v>6</v>
      </c>
      <c r="L157" s="30"/>
      <c r="M157" s="101"/>
      <c r="N157" s="101"/>
      <c r="O157" s="222"/>
      <c r="P157" s="7">
        <f>O155</f>
        <v>98.952612866832197</v>
      </c>
      <c r="Q157" s="7">
        <f>(I157+P157)/2</f>
        <v>99.476306433416099</v>
      </c>
      <c r="R157" s="355" t="s">
        <v>361</v>
      </c>
      <c r="S157" s="639"/>
      <c r="T157" s="297"/>
      <c r="U157" s="180"/>
    </row>
    <row r="158" spans="1:21" s="13" customFormat="1" ht="104.25" customHeight="1" x14ac:dyDescent="0.25">
      <c r="A158" s="629"/>
      <c r="B158" s="630"/>
      <c r="C158" s="369" t="s">
        <v>28</v>
      </c>
      <c r="D158" s="23" t="s">
        <v>587</v>
      </c>
      <c r="E158" s="357"/>
      <c r="F158" s="15"/>
      <c r="G158" s="218"/>
      <c r="H158" s="216"/>
      <c r="I158" s="49"/>
      <c r="J158" s="354" t="s">
        <v>28</v>
      </c>
      <c r="K158" s="22" t="str">
        <f>D158</f>
        <v>Реализация дополнительных общеобразовательных предпрофессиональных программ в области искусств - декоративно-прикладное творчество</v>
      </c>
      <c r="L158" s="354"/>
      <c r="M158" s="38"/>
      <c r="N158" s="38"/>
      <c r="O158" s="216"/>
      <c r="P158" s="82"/>
      <c r="Q158" s="353"/>
      <c r="R158" s="354"/>
      <c r="S158" s="639"/>
      <c r="T158" s="297"/>
      <c r="U158" s="270"/>
    </row>
    <row r="159" spans="1:21" ht="120" customHeight="1" x14ac:dyDescent="0.25">
      <c r="A159" s="629"/>
      <c r="B159" s="630"/>
      <c r="C159" s="418" t="s">
        <v>588</v>
      </c>
      <c r="D159" s="377" t="s">
        <v>238</v>
      </c>
      <c r="E159" s="357" t="s">
        <v>25</v>
      </c>
      <c r="F159" s="15" t="s">
        <v>442</v>
      </c>
      <c r="G159" s="367">
        <v>71</v>
      </c>
      <c r="H159" s="367">
        <v>100</v>
      </c>
      <c r="I159" s="51"/>
      <c r="J159" s="379" t="str">
        <f>C159</f>
        <v>3.1</v>
      </c>
      <c r="K159" s="547" t="s">
        <v>360</v>
      </c>
      <c r="L159" s="357" t="s">
        <v>355</v>
      </c>
      <c r="M159" s="237">
        <v>5200</v>
      </c>
      <c r="N159" s="237">
        <v>5200</v>
      </c>
      <c r="O159" s="367">
        <f t="shared" ref="O159" si="23">IF(N159/M159*100&gt;110,110,N159/M159*100)</f>
        <v>100</v>
      </c>
      <c r="P159" s="84"/>
      <c r="Q159" s="353"/>
      <c r="R159" s="354"/>
      <c r="S159" s="639"/>
      <c r="T159" s="297"/>
    </row>
    <row r="160" spans="1:21" ht="79.5" customHeight="1" x14ac:dyDescent="0.25">
      <c r="A160" s="629"/>
      <c r="B160" s="630"/>
      <c r="C160" s="418" t="s">
        <v>589</v>
      </c>
      <c r="D160" s="377" t="s">
        <v>34</v>
      </c>
      <c r="E160" s="357" t="s">
        <v>25</v>
      </c>
      <c r="F160" s="15" t="s">
        <v>354</v>
      </c>
      <c r="G160" s="366">
        <v>0</v>
      </c>
      <c r="H160" s="367">
        <v>100</v>
      </c>
      <c r="I160" s="51"/>
      <c r="J160" s="357"/>
      <c r="K160" s="361"/>
      <c r="L160" s="357"/>
      <c r="M160" s="357"/>
      <c r="N160" s="357"/>
      <c r="O160" s="367"/>
      <c r="P160" s="84"/>
      <c r="Q160" s="353"/>
      <c r="R160" s="354"/>
      <c r="S160" s="639"/>
      <c r="T160" s="297"/>
    </row>
    <row r="161" spans="1:21" s="16" customFormat="1" ht="33" x14ac:dyDescent="0.25">
      <c r="A161" s="629"/>
      <c r="B161" s="630"/>
      <c r="C161" s="171"/>
      <c r="D161" s="21" t="s">
        <v>6</v>
      </c>
      <c r="E161" s="30"/>
      <c r="F161" s="100"/>
      <c r="G161" s="230"/>
      <c r="H161" s="222"/>
      <c r="I161" s="7">
        <f>(H159+H160)/2</f>
        <v>100</v>
      </c>
      <c r="J161" s="30"/>
      <c r="K161" s="21" t="s">
        <v>6</v>
      </c>
      <c r="L161" s="30"/>
      <c r="M161" s="101"/>
      <c r="N161" s="101"/>
      <c r="O161" s="222"/>
      <c r="P161" s="7">
        <f>O159</f>
        <v>100</v>
      </c>
      <c r="Q161" s="7">
        <f>(I161+P161)/2</f>
        <v>100</v>
      </c>
      <c r="R161" s="355" t="s">
        <v>31</v>
      </c>
      <c r="S161" s="639"/>
      <c r="T161" s="297"/>
      <c r="U161" s="180"/>
    </row>
    <row r="162" spans="1:21" s="13" customFormat="1" ht="95.25" customHeight="1" x14ac:dyDescent="0.25">
      <c r="A162" s="629"/>
      <c r="B162" s="630"/>
      <c r="C162" s="369" t="s">
        <v>42</v>
      </c>
      <c r="D162" s="23" t="s">
        <v>440</v>
      </c>
      <c r="E162" s="357"/>
      <c r="F162" s="15"/>
      <c r="G162" s="218"/>
      <c r="H162" s="216"/>
      <c r="I162" s="49"/>
      <c r="J162" s="354" t="str">
        <f>C162</f>
        <v>IV</v>
      </c>
      <c r="K162" s="22" t="str">
        <f>D162</f>
        <v>Реализация дополнительных общеобразовательных общеразвивающих программ</v>
      </c>
      <c r="L162" s="354"/>
      <c r="M162" s="38"/>
      <c r="N162" s="38"/>
      <c r="O162" s="216"/>
      <c r="P162" s="82"/>
      <c r="Q162" s="353"/>
      <c r="R162" s="354"/>
      <c r="S162" s="639"/>
      <c r="T162" s="297"/>
      <c r="U162" s="270"/>
    </row>
    <row r="163" spans="1:21" ht="106.5" customHeight="1" x14ac:dyDescent="0.25">
      <c r="A163" s="629"/>
      <c r="B163" s="630"/>
      <c r="C163" s="418" t="s">
        <v>590</v>
      </c>
      <c r="D163" s="377" t="s">
        <v>243</v>
      </c>
      <c r="E163" s="357" t="s">
        <v>25</v>
      </c>
      <c r="F163" s="15" t="s">
        <v>584</v>
      </c>
      <c r="G163" s="367">
        <v>29</v>
      </c>
      <c r="H163" s="367">
        <v>100</v>
      </c>
      <c r="I163" s="51"/>
      <c r="J163" s="357" t="str">
        <f>C163</f>
        <v>4.1</v>
      </c>
      <c r="K163" s="547" t="s">
        <v>360</v>
      </c>
      <c r="L163" s="357" t="s">
        <v>355</v>
      </c>
      <c r="M163" s="237">
        <v>34480</v>
      </c>
      <c r="N163" s="237">
        <v>33967</v>
      </c>
      <c r="O163" s="367">
        <f t="shared" si="22"/>
        <v>98.512180974477957</v>
      </c>
      <c r="P163" s="84"/>
      <c r="Q163" s="353"/>
      <c r="R163" s="354"/>
      <c r="S163" s="639"/>
      <c r="T163" s="297"/>
    </row>
    <row r="164" spans="1:21" ht="68.25" customHeight="1" x14ac:dyDescent="0.25">
      <c r="A164" s="629"/>
      <c r="B164" s="630"/>
      <c r="C164" s="418" t="s">
        <v>591</v>
      </c>
      <c r="D164" s="377" t="s">
        <v>34</v>
      </c>
      <c r="E164" s="357" t="s">
        <v>25</v>
      </c>
      <c r="F164" s="15" t="s">
        <v>354</v>
      </c>
      <c r="G164" s="238">
        <v>0</v>
      </c>
      <c r="H164" s="367">
        <v>100</v>
      </c>
      <c r="I164" s="51"/>
      <c r="J164" s="357"/>
      <c r="K164" s="361"/>
      <c r="L164" s="357"/>
      <c r="M164" s="357"/>
      <c r="N164" s="357"/>
      <c r="O164" s="367"/>
      <c r="P164" s="84"/>
      <c r="Q164" s="353"/>
      <c r="R164" s="354"/>
      <c r="S164" s="639"/>
      <c r="T164" s="297"/>
    </row>
    <row r="165" spans="1:21" ht="68.25" customHeight="1" x14ac:dyDescent="0.25">
      <c r="A165" s="629"/>
      <c r="B165" s="630"/>
      <c r="C165" s="418" t="s">
        <v>592</v>
      </c>
      <c r="D165" s="377" t="s">
        <v>485</v>
      </c>
      <c r="E165" s="357" t="s">
        <v>38</v>
      </c>
      <c r="F165" s="239">
        <v>74</v>
      </c>
      <c r="G165" s="218">
        <v>73</v>
      </c>
      <c r="H165" s="367">
        <f>IF(G165/F165*100&gt;100,100,G165/F165*100)</f>
        <v>98.648648648648646</v>
      </c>
      <c r="I165" s="51"/>
      <c r="J165" s="357"/>
      <c r="K165" s="361"/>
      <c r="L165" s="357"/>
      <c r="M165" s="357"/>
      <c r="N165" s="357"/>
      <c r="O165" s="367"/>
      <c r="P165" s="84"/>
      <c r="Q165" s="353"/>
      <c r="R165" s="354"/>
      <c r="S165" s="639"/>
      <c r="T165" s="297"/>
    </row>
    <row r="166" spans="1:21" ht="43.5" customHeight="1" x14ac:dyDescent="0.25">
      <c r="A166" s="629"/>
      <c r="B166" s="630"/>
      <c r="C166" s="30"/>
      <c r="D166" s="21" t="s">
        <v>6</v>
      </c>
      <c r="E166" s="30"/>
      <c r="F166" s="222"/>
      <c r="G166" s="222"/>
      <c r="H166" s="222"/>
      <c r="I166" s="178">
        <f>(H163+H164+H165)/3</f>
        <v>99.549549549549553</v>
      </c>
      <c r="J166" s="30"/>
      <c r="K166" s="21" t="s">
        <v>6</v>
      </c>
      <c r="L166" s="30"/>
      <c r="M166" s="101"/>
      <c r="N166" s="101"/>
      <c r="O166" s="222"/>
      <c r="P166" s="7">
        <f>O163</f>
        <v>98.512180974477957</v>
      </c>
      <c r="Q166" s="7">
        <f>(I166+P166)/2</f>
        <v>99.030865262013748</v>
      </c>
      <c r="R166" s="355" t="s">
        <v>361</v>
      </c>
      <c r="S166" s="639"/>
      <c r="T166" s="297"/>
    </row>
    <row r="167" spans="1:21" s="13" customFormat="1" ht="101.25" customHeight="1" x14ac:dyDescent="0.25">
      <c r="A167" s="629" t="s">
        <v>80</v>
      </c>
      <c r="B167" s="630" t="s">
        <v>247</v>
      </c>
      <c r="C167" s="369" t="s">
        <v>12</v>
      </c>
      <c r="D167" s="23" t="s">
        <v>237</v>
      </c>
      <c r="E167" s="357"/>
      <c r="F167" s="15"/>
      <c r="G167" s="218"/>
      <c r="H167" s="216"/>
      <c r="I167" s="49"/>
      <c r="J167" s="354" t="s">
        <v>12</v>
      </c>
      <c r="K167" s="22" t="str">
        <f>D167</f>
        <v>Реализация дополнительных общеобразовательных предпрофессиональных программ в области искусств - фортепиано</v>
      </c>
      <c r="L167" s="357"/>
      <c r="M167" s="38"/>
      <c r="N167" s="38"/>
      <c r="O167" s="216"/>
      <c r="P167" s="82"/>
      <c r="Q167" s="353"/>
      <c r="R167" s="354"/>
      <c r="S167" s="639" t="s">
        <v>280</v>
      </c>
      <c r="T167" s="297"/>
      <c r="U167" s="270"/>
    </row>
    <row r="168" spans="1:21" ht="125.25" customHeight="1" x14ac:dyDescent="0.25">
      <c r="A168" s="629"/>
      <c r="B168" s="630"/>
      <c r="C168" s="371" t="s">
        <v>7</v>
      </c>
      <c r="D168" s="377" t="s">
        <v>238</v>
      </c>
      <c r="E168" s="357" t="s">
        <v>25</v>
      </c>
      <c r="F168" s="15" t="s">
        <v>442</v>
      </c>
      <c r="G168" s="367">
        <v>56</v>
      </c>
      <c r="H168" s="367">
        <v>100</v>
      </c>
      <c r="I168" s="51"/>
      <c r="J168" s="357" t="s">
        <v>7</v>
      </c>
      <c r="K168" s="547" t="s">
        <v>360</v>
      </c>
      <c r="L168" s="357" t="s">
        <v>355</v>
      </c>
      <c r="M168" s="365">
        <v>16632</v>
      </c>
      <c r="N168" s="365">
        <v>15048</v>
      </c>
      <c r="O168" s="367">
        <f t="shared" si="22"/>
        <v>90.476190476190482</v>
      </c>
      <c r="P168" s="84"/>
      <c r="Q168" s="353"/>
      <c r="R168" s="354"/>
      <c r="S168" s="639"/>
      <c r="T168" s="297"/>
    </row>
    <row r="169" spans="1:21" ht="63" customHeight="1" x14ac:dyDescent="0.25">
      <c r="A169" s="629"/>
      <c r="B169" s="630"/>
      <c r="C169" s="371" t="s">
        <v>8</v>
      </c>
      <c r="D169" s="377" t="s">
        <v>34</v>
      </c>
      <c r="E169" s="357" t="s">
        <v>25</v>
      </c>
      <c r="F169" s="15" t="s">
        <v>354</v>
      </c>
      <c r="G169" s="238">
        <v>0</v>
      </c>
      <c r="H169" s="367">
        <v>100</v>
      </c>
      <c r="I169" s="51"/>
      <c r="J169" s="357"/>
      <c r="K169" s="361"/>
      <c r="L169" s="357"/>
      <c r="M169" s="357"/>
      <c r="N169" s="357"/>
      <c r="O169" s="367"/>
      <c r="P169" s="84"/>
      <c r="Q169" s="353"/>
      <c r="R169" s="354"/>
      <c r="S169" s="639"/>
      <c r="T169" s="297"/>
    </row>
    <row r="170" spans="1:21" s="16" customFormat="1" ht="33" x14ac:dyDescent="0.25">
      <c r="A170" s="629"/>
      <c r="B170" s="630"/>
      <c r="C170" s="171"/>
      <c r="D170" s="21" t="s">
        <v>6</v>
      </c>
      <c r="E170" s="30"/>
      <c r="F170" s="100"/>
      <c r="G170" s="230"/>
      <c r="H170" s="222"/>
      <c r="I170" s="7">
        <f>(H168+H169)/2</f>
        <v>100</v>
      </c>
      <c r="J170" s="30"/>
      <c r="K170" s="21" t="s">
        <v>6</v>
      </c>
      <c r="L170" s="30"/>
      <c r="M170" s="101"/>
      <c r="N170" s="101"/>
      <c r="O170" s="222"/>
      <c r="P170" s="7">
        <f>O168</f>
        <v>90.476190476190482</v>
      </c>
      <c r="Q170" s="7">
        <f>(I170+P170)/2</f>
        <v>95.238095238095241</v>
      </c>
      <c r="R170" s="355" t="s">
        <v>361</v>
      </c>
      <c r="S170" s="639"/>
      <c r="T170" s="297"/>
      <c r="U170" s="180"/>
    </row>
    <row r="171" spans="1:21" s="13" customFormat="1" ht="110.25" customHeight="1" x14ac:dyDescent="0.25">
      <c r="A171" s="629"/>
      <c r="B171" s="630"/>
      <c r="C171" s="369" t="s">
        <v>13</v>
      </c>
      <c r="D171" s="23" t="s">
        <v>239</v>
      </c>
      <c r="E171" s="357"/>
      <c r="F171" s="15"/>
      <c r="G171" s="218"/>
      <c r="H171" s="216"/>
      <c r="I171" s="49"/>
      <c r="J171" s="354" t="s">
        <v>13</v>
      </c>
      <c r="K171" s="22" t="str">
        <f>D171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171" s="357"/>
      <c r="M171" s="38"/>
      <c r="N171" s="38"/>
      <c r="O171" s="216"/>
      <c r="P171" s="82"/>
      <c r="Q171" s="353"/>
      <c r="R171" s="354"/>
      <c r="S171" s="639"/>
      <c r="T171" s="297"/>
      <c r="U171" s="270"/>
    </row>
    <row r="172" spans="1:21" ht="124.5" customHeight="1" x14ac:dyDescent="0.25">
      <c r="A172" s="629"/>
      <c r="B172" s="630"/>
      <c r="C172" s="371" t="s">
        <v>14</v>
      </c>
      <c r="D172" s="377" t="s">
        <v>238</v>
      </c>
      <c r="E172" s="357" t="s">
        <v>25</v>
      </c>
      <c r="F172" s="15" t="s">
        <v>442</v>
      </c>
      <c r="G172" s="367">
        <v>56</v>
      </c>
      <c r="H172" s="367">
        <v>100</v>
      </c>
      <c r="I172" s="51"/>
      <c r="J172" s="357" t="s">
        <v>14</v>
      </c>
      <c r="K172" s="547" t="s">
        <v>360</v>
      </c>
      <c r="L172" s="357" t="s">
        <v>355</v>
      </c>
      <c r="M172" s="365">
        <v>7854</v>
      </c>
      <c r="N172" s="365">
        <v>7177.5</v>
      </c>
      <c r="O172" s="367">
        <f t="shared" si="22"/>
        <v>91.386554621848731</v>
      </c>
      <c r="P172" s="84"/>
      <c r="Q172" s="353"/>
      <c r="R172" s="354"/>
      <c r="S172" s="639"/>
      <c r="T172" s="297"/>
    </row>
    <row r="173" spans="1:21" ht="60" customHeight="1" x14ac:dyDescent="0.25">
      <c r="A173" s="629"/>
      <c r="B173" s="630"/>
      <c r="C173" s="371" t="s">
        <v>15</v>
      </c>
      <c r="D173" s="377" t="s">
        <v>34</v>
      </c>
      <c r="E173" s="357" t="s">
        <v>25</v>
      </c>
      <c r="F173" s="15" t="s">
        <v>354</v>
      </c>
      <c r="G173" s="238">
        <v>0</v>
      </c>
      <c r="H173" s="367">
        <v>100</v>
      </c>
      <c r="I173" s="51"/>
      <c r="J173" s="357"/>
      <c r="K173" s="361"/>
      <c r="L173" s="357"/>
      <c r="M173" s="357"/>
      <c r="N173" s="357"/>
      <c r="O173" s="367"/>
      <c r="P173" s="84"/>
      <c r="Q173" s="353"/>
      <c r="R173" s="354"/>
      <c r="S173" s="639"/>
      <c r="T173" s="297"/>
    </row>
    <row r="174" spans="1:21" s="16" customFormat="1" ht="33" x14ac:dyDescent="0.25">
      <c r="A174" s="629"/>
      <c r="B174" s="630"/>
      <c r="C174" s="171"/>
      <c r="D174" s="21" t="s">
        <v>6</v>
      </c>
      <c r="E174" s="30"/>
      <c r="F174" s="100"/>
      <c r="G174" s="230"/>
      <c r="H174" s="222"/>
      <c r="I174" s="7">
        <f>(H172+H173)/2</f>
        <v>100</v>
      </c>
      <c r="J174" s="30"/>
      <c r="K174" s="21" t="s">
        <v>6</v>
      </c>
      <c r="L174" s="30"/>
      <c r="M174" s="101"/>
      <c r="N174" s="101"/>
      <c r="O174" s="222"/>
      <c r="P174" s="7">
        <f>O172</f>
        <v>91.386554621848731</v>
      </c>
      <c r="Q174" s="7">
        <f>(I174+P174)/2</f>
        <v>95.693277310924373</v>
      </c>
      <c r="R174" s="355" t="s">
        <v>361</v>
      </c>
      <c r="S174" s="639"/>
      <c r="T174" s="297"/>
      <c r="U174" s="180"/>
    </row>
    <row r="175" spans="1:21" s="13" customFormat="1" ht="96" customHeight="1" x14ac:dyDescent="0.25">
      <c r="A175" s="629"/>
      <c r="B175" s="630"/>
      <c r="C175" s="369" t="s">
        <v>28</v>
      </c>
      <c r="D175" s="23" t="s">
        <v>240</v>
      </c>
      <c r="E175" s="357"/>
      <c r="F175" s="15"/>
      <c r="G175" s="218"/>
      <c r="H175" s="216"/>
      <c r="I175" s="49"/>
      <c r="J175" s="354" t="str">
        <f>C175</f>
        <v>III</v>
      </c>
      <c r="K175" s="22" t="str">
        <f>D175</f>
        <v>Реализация дополнительных общеобразовательных предпрофессиональных программ в области искусств - струнные инструменты</v>
      </c>
      <c r="L175" s="357"/>
      <c r="M175" s="38"/>
      <c r="N175" s="38"/>
      <c r="O175" s="216"/>
      <c r="P175" s="82"/>
      <c r="Q175" s="353"/>
      <c r="R175" s="354"/>
      <c r="S175" s="639"/>
      <c r="T175" s="297"/>
      <c r="U175" s="270"/>
    </row>
    <row r="176" spans="1:21" ht="122.25" customHeight="1" x14ac:dyDescent="0.25">
      <c r="A176" s="629"/>
      <c r="B176" s="630"/>
      <c r="C176" s="371" t="s">
        <v>29</v>
      </c>
      <c r="D176" s="377" t="s">
        <v>238</v>
      </c>
      <c r="E176" s="357" t="s">
        <v>25</v>
      </c>
      <c r="F176" s="15" t="s">
        <v>442</v>
      </c>
      <c r="G176" s="367">
        <v>56</v>
      </c>
      <c r="H176" s="367">
        <v>100</v>
      </c>
      <c r="I176" s="51"/>
      <c r="J176" s="357" t="str">
        <f>C176</f>
        <v>3.1.</v>
      </c>
      <c r="K176" s="547" t="s">
        <v>360</v>
      </c>
      <c r="L176" s="357" t="s">
        <v>355</v>
      </c>
      <c r="M176" s="365">
        <v>10164</v>
      </c>
      <c r="N176" s="365">
        <v>9405</v>
      </c>
      <c r="O176" s="367">
        <f t="shared" si="22"/>
        <v>92.532467532467535</v>
      </c>
      <c r="P176" s="84"/>
      <c r="Q176" s="353"/>
      <c r="R176" s="354"/>
      <c r="S176" s="639"/>
      <c r="T176" s="297"/>
    </row>
    <row r="177" spans="1:21" ht="64.5" customHeight="1" x14ac:dyDescent="0.25">
      <c r="A177" s="629"/>
      <c r="B177" s="630"/>
      <c r="C177" s="371" t="s">
        <v>30</v>
      </c>
      <c r="D177" s="377" t="s">
        <v>34</v>
      </c>
      <c r="E177" s="357" t="s">
        <v>25</v>
      </c>
      <c r="F177" s="15" t="s">
        <v>354</v>
      </c>
      <c r="G177" s="238">
        <v>0</v>
      </c>
      <c r="H177" s="367">
        <v>100</v>
      </c>
      <c r="I177" s="51"/>
      <c r="J177" s="357"/>
      <c r="K177" s="361"/>
      <c r="L177" s="357"/>
      <c r="M177" s="357"/>
      <c r="N177" s="357"/>
      <c r="O177" s="367"/>
      <c r="P177" s="84"/>
      <c r="Q177" s="353"/>
      <c r="R177" s="354"/>
      <c r="S177" s="639"/>
      <c r="T177" s="297"/>
    </row>
    <row r="178" spans="1:21" s="16" customFormat="1" ht="33" x14ac:dyDescent="0.25">
      <c r="A178" s="629"/>
      <c r="B178" s="630"/>
      <c r="C178" s="171"/>
      <c r="D178" s="21" t="s">
        <v>6</v>
      </c>
      <c r="E178" s="30"/>
      <c r="F178" s="100"/>
      <c r="G178" s="230"/>
      <c r="H178" s="222"/>
      <c r="I178" s="7">
        <f>(H176+H177)/2</f>
        <v>100</v>
      </c>
      <c r="J178" s="30"/>
      <c r="K178" s="21" t="s">
        <v>6</v>
      </c>
      <c r="L178" s="30"/>
      <c r="M178" s="101"/>
      <c r="N178" s="101"/>
      <c r="O178" s="222"/>
      <c r="P178" s="7">
        <f>O176</f>
        <v>92.532467532467535</v>
      </c>
      <c r="Q178" s="7">
        <f>(I178+P178)/2</f>
        <v>96.266233766233768</v>
      </c>
      <c r="R178" s="355" t="s">
        <v>361</v>
      </c>
      <c r="S178" s="639"/>
      <c r="T178" s="297"/>
      <c r="U178" s="180"/>
    </row>
    <row r="179" spans="1:21" s="13" customFormat="1" ht="92.25" customHeight="1" x14ac:dyDescent="0.25">
      <c r="A179" s="629"/>
      <c r="B179" s="630"/>
      <c r="C179" s="369" t="s">
        <v>42</v>
      </c>
      <c r="D179" s="23" t="s">
        <v>241</v>
      </c>
      <c r="E179" s="357"/>
      <c r="F179" s="15"/>
      <c r="G179" s="218"/>
      <c r="H179" s="216"/>
      <c r="I179" s="49"/>
      <c r="J179" s="354" t="str">
        <f>C179</f>
        <v>IV</v>
      </c>
      <c r="K179" s="22" t="str">
        <f>D179</f>
        <v>Реализация дополнительных общеобразовательных предпрофессиональных программ в области искусств - народные инструменты</v>
      </c>
      <c r="L179" s="357"/>
      <c r="M179" s="38"/>
      <c r="N179" s="38"/>
      <c r="O179" s="216"/>
      <c r="P179" s="82"/>
      <c r="Q179" s="353"/>
      <c r="R179" s="354"/>
      <c r="S179" s="639"/>
      <c r="T179" s="297"/>
      <c r="U179" s="270"/>
    </row>
    <row r="180" spans="1:21" ht="121.5" customHeight="1" x14ac:dyDescent="0.25">
      <c r="A180" s="629"/>
      <c r="B180" s="630"/>
      <c r="C180" s="371" t="s">
        <v>43</v>
      </c>
      <c r="D180" s="377" t="s">
        <v>238</v>
      </c>
      <c r="E180" s="357" t="s">
        <v>25</v>
      </c>
      <c r="F180" s="15" t="s">
        <v>442</v>
      </c>
      <c r="G180" s="367">
        <v>56</v>
      </c>
      <c r="H180" s="367">
        <v>100</v>
      </c>
      <c r="I180" s="51"/>
      <c r="J180" s="357" t="str">
        <f>C180</f>
        <v>4.1.</v>
      </c>
      <c r="K180" s="547" t="s">
        <v>360</v>
      </c>
      <c r="L180" s="357" t="s">
        <v>355</v>
      </c>
      <c r="M180" s="365">
        <v>10857</v>
      </c>
      <c r="N180" s="365">
        <v>10147.5</v>
      </c>
      <c r="O180" s="367">
        <f t="shared" si="22"/>
        <v>93.465045592705167</v>
      </c>
      <c r="P180" s="84"/>
      <c r="Q180" s="353"/>
      <c r="R180" s="354"/>
      <c r="S180" s="639"/>
      <c r="T180" s="297"/>
    </row>
    <row r="181" spans="1:21" ht="62.25" customHeight="1" x14ac:dyDescent="0.25">
      <c r="A181" s="629"/>
      <c r="B181" s="630"/>
      <c r="C181" s="371" t="s">
        <v>137</v>
      </c>
      <c r="D181" s="377" t="s">
        <v>34</v>
      </c>
      <c r="E181" s="357" t="s">
        <v>25</v>
      </c>
      <c r="F181" s="15" t="s">
        <v>354</v>
      </c>
      <c r="G181" s="238">
        <v>0</v>
      </c>
      <c r="H181" s="238">
        <v>100</v>
      </c>
      <c r="I181" s="51"/>
      <c r="J181" s="357"/>
      <c r="K181" s="361"/>
      <c r="L181" s="357"/>
      <c r="M181" s="357"/>
      <c r="N181" s="357"/>
      <c r="O181" s="367"/>
      <c r="P181" s="84"/>
      <c r="Q181" s="353"/>
      <c r="R181" s="354"/>
      <c r="S181" s="639"/>
      <c r="T181" s="297"/>
    </row>
    <row r="182" spans="1:21" s="16" customFormat="1" ht="33" x14ac:dyDescent="0.25">
      <c r="A182" s="629"/>
      <c r="B182" s="630"/>
      <c r="C182" s="171"/>
      <c r="D182" s="21" t="s">
        <v>6</v>
      </c>
      <c r="E182" s="30"/>
      <c r="F182" s="100"/>
      <c r="G182" s="230"/>
      <c r="H182" s="222"/>
      <c r="I182" s="7">
        <f>(H180+H181)/2</f>
        <v>100</v>
      </c>
      <c r="J182" s="30"/>
      <c r="K182" s="21" t="s">
        <v>6</v>
      </c>
      <c r="L182" s="30"/>
      <c r="M182" s="101"/>
      <c r="N182" s="101"/>
      <c r="O182" s="222"/>
      <c r="P182" s="7">
        <f>O180</f>
        <v>93.465045592705167</v>
      </c>
      <c r="Q182" s="7">
        <f>(I182+P182)/2</f>
        <v>96.732522796352583</v>
      </c>
      <c r="R182" s="355" t="s">
        <v>361</v>
      </c>
      <c r="S182" s="639"/>
      <c r="T182" s="297"/>
      <c r="U182" s="180"/>
    </row>
    <row r="183" spans="1:21" s="13" customFormat="1" ht="109.5" customHeight="1" x14ac:dyDescent="0.25">
      <c r="A183" s="629"/>
      <c r="B183" s="630"/>
      <c r="C183" s="369" t="s">
        <v>164</v>
      </c>
      <c r="D183" s="23" t="s">
        <v>242</v>
      </c>
      <c r="E183" s="357"/>
      <c r="F183" s="15"/>
      <c r="G183" s="218"/>
      <c r="H183" s="216"/>
      <c r="I183" s="49"/>
      <c r="J183" s="354" t="str">
        <f>C183</f>
        <v>V</v>
      </c>
      <c r="K183" s="22" t="str">
        <f>D183</f>
        <v>Реализация дополнительных общеобразовательных предпрофессиональных программ в области искусств - инструменты эстрадного оркестра</v>
      </c>
      <c r="L183" s="357"/>
      <c r="M183" s="38"/>
      <c r="N183" s="38"/>
      <c r="O183" s="216"/>
      <c r="P183" s="82"/>
      <c r="Q183" s="353"/>
      <c r="R183" s="354"/>
      <c r="S183" s="639"/>
      <c r="T183" s="297"/>
      <c r="U183" s="270"/>
    </row>
    <row r="184" spans="1:21" ht="112.5" customHeight="1" x14ac:dyDescent="0.25">
      <c r="A184" s="629"/>
      <c r="B184" s="630"/>
      <c r="C184" s="371" t="s">
        <v>165</v>
      </c>
      <c r="D184" s="377" t="s">
        <v>243</v>
      </c>
      <c r="E184" s="357" t="s">
        <v>25</v>
      </c>
      <c r="F184" s="15" t="s">
        <v>442</v>
      </c>
      <c r="G184" s="367">
        <v>56</v>
      </c>
      <c r="H184" s="367">
        <v>100</v>
      </c>
      <c r="I184" s="51"/>
      <c r="J184" s="357" t="str">
        <f>C184</f>
        <v>5.1.</v>
      </c>
      <c r="K184" s="547" t="s">
        <v>360</v>
      </c>
      <c r="L184" s="357" t="s">
        <v>355</v>
      </c>
      <c r="M184" s="365">
        <v>10395</v>
      </c>
      <c r="N184" s="365">
        <v>9405</v>
      </c>
      <c r="O184" s="367">
        <f t="shared" si="22"/>
        <v>90.476190476190482</v>
      </c>
      <c r="P184" s="84"/>
      <c r="Q184" s="353"/>
      <c r="R184" s="354"/>
      <c r="S184" s="639"/>
      <c r="T184" s="297"/>
    </row>
    <row r="185" spans="1:21" ht="49.5" x14ac:dyDescent="0.25">
      <c r="A185" s="629"/>
      <c r="B185" s="630"/>
      <c r="C185" s="371" t="s">
        <v>166</v>
      </c>
      <c r="D185" s="377" t="s">
        <v>34</v>
      </c>
      <c r="E185" s="357" t="s">
        <v>25</v>
      </c>
      <c r="F185" s="15" t="s">
        <v>354</v>
      </c>
      <c r="G185" s="238">
        <v>0</v>
      </c>
      <c r="H185" s="238">
        <v>100</v>
      </c>
      <c r="I185" s="51"/>
      <c r="J185" s="357"/>
      <c r="K185" s="361"/>
      <c r="L185" s="357"/>
      <c r="M185" s="357"/>
      <c r="N185" s="357"/>
      <c r="O185" s="367"/>
      <c r="P185" s="84"/>
      <c r="Q185" s="353"/>
      <c r="R185" s="354"/>
      <c r="S185" s="639"/>
      <c r="T185" s="297"/>
    </row>
    <row r="186" spans="1:21" s="16" customFormat="1" ht="33" x14ac:dyDescent="0.25">
      <c r="A186" s="629"/>
      <c r="B186" s="630"/>
      <c r="C186" s="171"/>
      <c r="D186" s="21" t="s">
        <v>6</v>
      </c>
      <c r="E186" s="30"/>
      <c r="F186" s="100"/>
      <c r="G186" s="230"/>
      <c r="H186" s="222"/>
      <c r="I186" s="7">
        <f>(H184+H185)/2</f>
        <v>100</v>
      </c>
      <c r="J186" s="30"/>
      <c r="K186" s="21" t="s">
        <v>6</v>
      </c>
      <c r="L186" s="30"/>
      <c r="M186" s="101"/>
      <c r="N186" s="101"/>
      <c r="O186" s="222"/>
      <c r="P186" s="7">
        <f>O184</f>
        <v>90.476190476190482</v>
      </c>
      <c r="Q186" s="7">
        <f>(I186+P186)/2</f>
        <v>95.238095238095241</v>
      </c>
      <c r="R186" s="355" t="s">
        <v>361</v>
      </c>
      <c r="S186" s="639"/>
      <c r="T186" s="297"/>
      <c r="U186" s="180"/>
    </row>
    <row r="187" spans="1:21" s="16" customFormat="1" ht="96.75" customHeight="1" x14ac:dyDescent="0.25">
      <c r="A187" s="629"/>
      <c r="B187" s="630"/>
      <c r="C187" s="257" t="s">
        <v>170</v>
      </c>
      <c r="D187" s="23" t="s">
        <v>554</v>
      </c>
      <c r="E187" s="357"/>
      <c r="F187" s="15"/>
      <c r="G187" s="218"/>
      <c r="H187" s="216"/>
      <c r="I187" s="49"/>
      <c r="J187" s="354" t="str">
        <f>C187</f>
        <v>VI</v>
      </c>
      <c r="K187" s="22" t="str">
        <f>D187</f>
        <v>Реализация дополнительных общеобразовательных предпрофессиональных программ в области искусств - музыкальный фольклор</v>
      </c>
      <c r="L187" s="357"/>
      <c r="M187" s="38"/>
      <c r="N187" s="38"/>
      <c r="O187" s="216"/>
      <c r="P187" s="82"/>
      <c r="Q187" s="353"/>
      <c r="R187" s="354"/>
      <c r="S187" s="639"/>
      <c r="T187" s="297"/>
      <c r="U187" s="180"/>
    </row>
    <row r="188" spans="1:21" s="16" customFormat="1" ht="99" x14ac:dyDescent="0.25">
      <c r="A188" s="629"/>
      <c r="B188" s="630"/>
      <c r="C188" s="17" t="s">
        <v>171</v>
      </c>
      <c r="D188" s="377" t="s">
        <v>243</v>
      </c>
      <c r="E188" s="357" t="s">
        <v>25</v>
      </c>
      <c r="F188" s="15" t="s">
        <v>442</v>
      </c>
      <c r="G188" s="367">
        <v>56</v>
      </c>
      <c r="H188" s="367">
        <v>100</v>
      </c>
      <c r="I188" s="51"/>
      <c r="J188" s="357" t="str">
        <f>C188</f>
        <v>6.1.</v>
      </c>
      <c r="K188" s="547" t="s">
        <v>360</v>
      </c>
      <c r="L188" s="357" t="s">
        <v>355</v>
      </c>
      <c r="M188" s="365">
        <v>5049</v>
      </c>
      <c r="N188" s="365">
        <v>4702.5</v>
      </c>
      <c r="O188" s="367">
        <f t="shared" ref="O188" si="24">IF(N188/M188*100&gt;110,110,N188/M188*100)</f>
        <v>93.137254901960787</v>
      </c>
      <c r="P188" s="84"/>
      <c r="Q188" s="353"/>
      <c r="R188" s="354"/>
      <c r="S188" s="639"/>
      <c r="T188" s="297"/>
      <c r="U188" s="180"/>
    </row>
    <row r="189" spans="1:21" s="16" customFormat="1" ht="49.5" x14ac:dyDescent="0.25">
      <c r="A189" s="629"/>
      <c r="B189" s="630"/>
      <c r="C189" s="17" t="s">
        <v>172</v>
      </c>
      <c r="D189" s="377" t="s">
        <v>34</v>
      </c>
      <c r="E189" s="357" t="s">
        <v>25</v>
      </c>
      <c r="F189" s="15" t="s">
        <v>354</v>
      </c>
      <c r="G189" s="238">
        <v>0</v>
      </c>
      <c r="H189" s="238">
        <v>100</v>
      </c>
      <c r="I189" s="51"/>
      <c r="J189" s="357"/>
      <c r="K189" s="361"/>
      <c r="L189" s="357"/>
      <c r="M189" s="357"/>
      <c r="N189" s="357"/>
      <c r="O189" s="367"/>
      <c r="P189" s="84"/>
      <c r="Q189" s="353"/>
      <c r="R189" s="354"/>
      <c r="S189" s="639"/>
      <c r="T189" s="297"/>
      <c r="U189" s="180"/>
    </row>
    <row r="190" spans="1:21" s="16" customFormat="1" ht="33" x14ac:dyDescent="0.25">
      <c r="A190" s="629"/>
      <c r="B190" s="630"/>
      <c r="C190" s="171"/>
      <c r="D190" s="21" t="s">
        <v>6</v>
      </c>
      <c r="E190" s="30"/>
      <c r="F190" s="100"/>
      <c r="G190" s="230"/>
      <c r="H190" s="222"/>
      <c r="I190" s="7">
        <f>(H188+H189)/2</f>
        <v>100</v>
      </c>
      <c r="J190" s="30"/>
      <c r="K190" s="21" t="s">
        <v>6</v>
      </c>
      <c r="L190" s="30"/>
      <c r="M190" s="101"/>
      <c r="N190" s="101"/>
      <c r="O190" s="222"/>
      <c r="P190" s="7">
        <f>O188</f>
        <v>93.137254901960787</v>
      </c>
      <c r="Q190" s="7">
        <f>(I190+P190)/2</f>
        <v>96.568627450980387</v>
      </c>
      <c r="R190" s="355" t="s">
        <v>361</v>
      </c>
      <c r="S190" s="639"/>
      <c r="T190" s="297"/>
      <c r="U190" s="180"/>
    </row>
    <row r="191" spans="1:21" s="13" customFormat="1" ht="79.5" customHeight="1" x14ac:dyDescent="0.25">
      <c r="A191" s="629"/>
      <c r="B191" s="630"/>
      <c r="C191" s="369" t="s">
        <v>207</v>
      </c>
      <c r="D191" s="23" t="s">
        <v>440</v>
      </c>
      <c r="E191" s="357"/>
      <c r="F191" s="15"/>
      <c r="G191" s="218"/>
      <c r="H191" s="216"/>
      <c r="I191" s="49"/>
      <c r="J191" s="354" t="str">
        <f>C191</f>
        <v>VII</v>
      </c>
      <c r="K191" s="22" t="str">
        <f>D191</f>
        <v>Реализация дополнительных общеобразовательных общеразвивающих программ</v>
      </c>
      <c r="L191" s="357"/>
      <c r="M191" s="38"/>
      <c r="N191" s="38"/>
      <c r="O191" s="216"/>
      <c r="P191" s="82"/>
      <c r="Q191" s="353"/>
      <c r="R191" s="354"/>
      <c r="S191" s="639"/>
      <c r="T191" s="297"/>
      <c r="U191" s="270"/>
    </row>
    <row r="192" spans="1:21" ht="115.5" customHeight="1" x14ac:dyDescent="0.25">
      <c r="A192" s="629"/>
      <c r="B192" s="630"/>
      <c r="C192" s="371" t="s">
        <v>208</v>
      </c>
      <c r="D192" s="377" t="s">
        <v>243</v>
      </c>
      <c r="E192" s="357" t="s">
        <v>25</v>
      </c>
      <c r="F192" s="15" t="s">
        <v>584</v>
      </c>
      <c r="G192" s="367">
        <v>44</v>
      </c>
      <c r="H192" s="367">
        <v>100</v>
      </c>
      <c r="I192" s="51"/>
      <c r="J192" s="357" t="str">
        <f>C192</f>
        <v>7.1.</v>
      </c>
      <c r="K192" s="547" t="s">
        <v>360</v>
      </c>
      <c r="L192" s="357" t="s">
        <v>204</v>
      </c>
      <c r="M192" s="365">
        <v>9900</v>
      </c>
      <c r="N192" s="365">
        <v>9603</v>
      </c>
      <c r="O192" s="367">
        <f t="shared" si="22"/>
        <v>97</v>
      </c>
      <c r="P192" s="84"/>
      <c r="Q192" s="353"/>
      <c r="R192" s="354"/>
      <c r="S192" s="639"/>
      <c r="T192" s="297"/>
    </row>
    <row r="193" spans="1:21" ht="55.5" customHeight="1" x14ac:dyDescent="0.25">
      <c r="A193" s="629"/>
      <c r="B193" s="630"/>
      <c r="C193" s="371" t="s">
        <v>212</v>
      </c>
      <c r="D193" s="377" t="s">
        <v>34</v>
      </c>
      <c r="E193" s="357" t="s">
        <v>25</v>
      </c>
      <c r="F193" s="15" t="s">
        <v>354</v>
      </c>
      <c r="G193" s="238">
        <v>0</v>
      </c>
      <c r="H193" s="238">
        <v>100</v>
      </c>
      <c r="I193" s="51"/>
      <c r="J193" s="357"/>
      <c r="K193" s="361"/>
      <c r="L193" s="357"/>
      <c r="M193" s="357"/>
      <c r="N193" s="357"/>
      <c r="O193" s="367"/>
      <c r="P193" s="84"/>
      <c r="Q193" s="353"/>
      <c r="R193" s="354"/>
      <c r="S193" s="639"/>
      <c r="T193" s="297"/>
    </row>
    <row r="194" spans="1:21" ht="16.5" x14ac:dyDescent="0.25">
      <c r="A194" s="629"/>
      <c r="B194" s="630"/>
      <c r="C194" s="371" t="s">
        <v>562</v>
      </c>
      <c r="D194" s="377" t="s">
        <v>485</v>
      </c>
      <c r="E194" s="357" t="s">
        <v>38</v>
      </c>
      <c r="F194" s="85">
        <v>75</v>
      </c>
      <c r="G194" s="218">
        <v>95</v>
      </c>
      <c r="H194" s="367">
        <f>IF(G194/F194*100&gt;100,100,G194/F194*100)</f>
        <v>100</v>
      </c>
      <c r="I194" s="49"/>
      <c r="J194" s="357"/>
      <c r="K194" s="361"/>
      <c r="L194" s="357"/>
      <c r="M194" s="357"/>
      <c r="N194" s="357"/>
      <c r="O194" s="367"/>
      <c r="P194" s="84"/>
      <c r="Q194" s="353"/>
      <c r="R194" s="354"/>
      <c r="S194" s="639"/>
      <c r="T194" s="297"/>
    </row>
    <row r="195" spans="1:21" ht="47.25" customHeight="1" x14ac:dyDescent="0.25">
      <c r="A195" s="629"/>
      <c r="B195" s="630"/>
      <c r="C195" s="171"/>
      <c r="D195" s="21" t="s">
        <v>6</v>
      </c>
      <c r="E195" s="30"/>
      <c r="F195" s="100"/>
      <c r="G195" s="230"/>
      <c r="H195" s="222"/>
      <c r="I195" s="7">
        <f>(H192+H193+H194)/3</f>
        <v>100</v>
      </c>
      <c r="J195" s="30"/>
      <c r="K195" s="21" t="s">
        <v>6</v>
      </c>
      <c r="L195" s="30"/>
      <c r="M195" s="101"/>
      <c r="N195" s="101"/>
      <c r="O195" s="222"/>
      <c r="P195" s="7">
        <f>O192</f>
        <v>97</v>
      </c>
      <c r="Q195" s="7">
        <f>(I195+P195)/2</f>
        <v>98.5</v>
      </c>
      <c r="R195" s="355" t="s">
        <v>361</v>
      </c>
      <c r="S195" s="639"/>
      <c r="T195" s="297"/>
    </row>
    <row r="196" spans="1:21" s="13" customFormat="1" ht="88.5" customHeight="1" x14ac:dyDescent="0.25">
      <c r="A196" s="629" t="s">
        <v>81</v>
      </c>
      <c r="B196" s="630" t="s">
        <v>248</v>
      </c>
      <c r="C196" s="369" t="s">
        <v>12</v>
      </c>
      <c r="D196" s="23" t="s">
        <v>237</v>
      </c>
      <c r="E196" s="357"/>
      <c r="F196" s="218"/>
      <c r="G196" s="218"/>
      <c r="H196" s="216"/>
      <c r="I196" s="49"/>
      <c r="J196" s="354" t="s">
        <v>12</v>
      </c>
      <c r="K196" s="22" t="str">
        <f>D196</f>
        <v>Реализация дополнительных общеобразовательных предпрофессиональных программ в области искусств - фортепиано</v>
      </c>
      <c r="L196" s="357"/>
      <c r="M196" s="38"/>
      <c r="N196" s="38"/>
      <c r="O196" s="216"/>
      <c r="P196" s="82"/>
      <c r="Q196" s="353"/>
      <c r="R196" s="354"/>
      <c r="S196" s="639" t="s">
        <v>280</v>
      </c>
      <c r="T196" s="297"/>
      <c r="U196" s="270"/>
    </row>
    <row r="197" spans="1:21" ht="111.75" customHeight="1" x14ac:dyDescent="0.25">
      <c r="A197" s="629"/>
      <c r="B197" s="630"/>
      <c r="C197" s="371" t="s">
        <v>7</v>
      </c>
      <c r="D197" s="377" t="s">
        <v>238</v>
      </c>
      <c r="E197" s="357" t="s">
        <v>25</v>
      </c>
      <c r="F197" s="15" t="s">
        <v>442</v>
      </c>
      <c r="G197" s="367">
        <v>82.1</v>
      </c>
      <c r="H197" s="367">
        <v>100</v>
      </c>
      <c r="I197" s="51"/>
      <c r="J197" s="357" t="s">
        <v>7</v>
      </c>
      <c r="K197" s="361" t="s">
        <v>89</v>
      </c>
      <c r="L197" s="357" t="s">
        <v>355</v>
      </c>
      <c r="M197" s="237">
        <v>8858</v>
      </c>
      <c r="N197" s="237">
        <v>8482</v>
      </c>
      <c r="O197" s="367">
        <f t="shared" si="22"/>
        <v>95.755249491984657</v>
      </c>
      <c r="P197" s="84"/>
      <c r="Q197" s="353"/>
      <c r="R197" s="354"/>
      <c r="S197" s="639"/>
      <c r="T197" s="297"/>
    </row>
    <row r="198" spans="1:21" ht="68.25" customHeight="1" x14ac:dyDescent="0.25">
      <c r="A198" s="629"/>
      <c r="B198" s="630"/>
      <c r="C198" s="371" t="s">
        <v>8</v>
      </c>
      <c r="D198" s="377" t="s">
        <v>34</v>
      </c>
      <c r="E198" s="357" t="s">
        <v>25</v>
      </c>
      <c r="F198" s="15" t="s">
        <v>354</v>
      </c>
      <c r="G198" s="238">
        <v>0</v>
      </c>
      <c r="H198" s="367">
        <v>100</v>
      </c>
      <c r="I198" s="51"/>
      <c r="J198" s="357"/>
      <c r="K198" s="361"/>
      <c r="L198" s="357"/>
      <c r="M198" s="240"/>
      <c r="N198" s="240"/>
      <c r="O198" s="367"/>
      <c r="P198" s="84"/>
      <c r="Q198" s="353"/>
      <c r="R198" s="354"/>
      <c r="S198" s="639"/>
      <c r="T198" s="297"/>
    </row>
    <row r="199" spans="1:21" s="16" customFormat="1" ht="33" x14ac:dyDescent="0.25">
      <c r="A199" s="629"/>
      <c r="B199" s="630"/>
      <c r="C199" s="171"/>
      <c r="D199" s="21" t="s">
        <v>6</v>
      </c>
      <c r="E199" s="30"/>
      <c r="F199" s="229"/>
      <c r="G199" s="230"/>
      <c r="H199" s="222"/>
      <c r="I199" s="7">
        <f>(H197+H198)/2</f>
        <v>100</v>
      </c>
      <c r="J199" s="30"/>
      <c r="K199" s="21" t="s">
        <v>6</v>
      </c>
      <c r="L199" s="30"/>
      <c r="M199" s="241"/>
      <c r="N199" s="241"/>
      <c r="O199" s="222"/>
      <c r="P199" s="7">
        <f>O197</f>
        <v>95.755249491984657</v>
      </c>
      <c r="Q199" s="7">
        <f>(I199+P199)/2</f>
        <v>97.877624745992335</v>
      </c>
      <c r="R199" s="355" t="s">
        <v>361</v>
      </c>
      <c r="S199" s="639"/>
      <c r="T199" s="297"/>
      <c r="U199" s="180"/>
    </row>
    <row r="200" spans="1:21" s="13" customFormat="1" ht="115.5" customHeight="1" x14ac:dyDescent="0.25">
      <c r="A200" s="629"/>
      <c r="B200" s="630"/>
      <c r="C200" s="369" t="s">
        <v>13</v>
      </c>
      <c r="D200" s="23" t="s">
        <v>239</v>
      </c>
      <c r="E200" s="357"/>
      <c r="F200" s="218"/>
      <c r="G200" s="218"/>
      <c r="H200" s="216"/>
      <c r="I200" s="49"/>
      <c r="J200" s="354" t="s">
        <v>13</v>
      </c>
      <c r="K200" s="22" t="str">
        <f>D200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200" s="357"/>
      <c r="M200" s="242"/>
      <c r="N200" s="242"/>
      <c r="O200" s="216"/>
      <c r="P200" s="82"/>
      <c r="Q200" s="353"/>
      <c r="R200" s="354"/>
      <c r="S200" s="639"/>
      <c r="T200" s="297"/>
      <c r="U200" s="270"/>
    </row>
    <row r="201" spans="1:21" ht="117.75" customHeight="1" x14ac:dyDescent="0.25">
      <c r="A201" s="629"/>
      <c r="B201" s="630"/>
      <c r="C201" s="371" t="s">
        <v>14</v>
      </c>
      <c r="D201" s="377" t="s">
        <v>238</v>
      </c>
      <c r="E201" s="357" t="s">
        <v>25</v>
      </c>
      <c r="F201" s="15" t="s">
        <v>442</v>
      </c>
      <c r="G201" s="367">
        <v>82.1</v>
      </c>
      <c r="H201" s="367">
        <v>100</v>
      </c>
      <c r="I201" s="51"/>
      <c r="J201" s="357" t="s">
        <v>14</v>
      </c>
      <c r="K201" s="361" t="s">
        <v>89</v>
      </c>
      <c r="L201" s="357" t="s">
        <v>355</v>
      </c>
      <c r="M201" s="237">
        <v>16403</v>
      </c>
      <c r="N201" s="237">
        <v>16323</v>
      </c>
      <c r="O201" s="367">
        <f t="shared" si="22"/>
        <v>99.512284338230813</v>
      </c>
      <c r="P201" s="84"/>
      <c r="Q201" s="353"/>
      <c r="R201" s="354"/>
      <c r="S201" s="639"/>
      <c r="T201" s="297"/>
    </row>
    <row r="202" spans="1:21" ht="72.75" customHeight="1" x14ac:dyDescent="0.25">
      <c r="A202" s="629"/>
      <c r="B202" s="630"/>
      <c r="C202" s="371" t="s">
        <v>15</v>
      </c>
      <c r="D202" s="377" t="s">
        <v>34</v>
      </c>
      <c r="E202" s="357" t="s">
        <v>25</v>
      </c>
      <c r="F202" s="15" t="s">
        <v>354</v>
      </c>
      <c r="G202" s="238">
        <v>0</v>
      </c>
      <c r="H202" s="367">
        <v>100</v>
      </c>
      <c r="I202" s="51"/>
      <c r="J202" s="357"/>
      <c r="K202" s="361"/>
      <c r="L202" s="357"/>
      <c r="M202" s="357"/>
      <c r="N202" s="357"/>
      <c r="O202" s="367"/>
      <c r="P202" s="84"/>
      <c r="Q202" s="353"/>
      <c r="R202" s="354"/>
      <c r="S202" s="639"/>
      <c r="T202" s="297"/>
    </row>
    <row r="203" spans="1:21" s="16" customFormat="1" ht="33" x14ac:dyDescent="0.25">
      <c r="A203" s="629"/>
      <c r="B203" s="630"/>
      <c r="C203" s="171"/>
      <c r="D203" s="21" t="s">
        <v>6</v>
      </c>
      <c r="E203" s="30"/>
      <c r="F203" s="229"/>
      <c r="G203" s="230"/>
      <c r="H203" s="222"/>
      <c r="I203" s="7">
        <f>(H201+H202)/2</f>
        <v>100</v>
      </c>
      <c r="J203" s="30"/>
      <c r="K203" s="21" t="s">
        <v>6</v>
      </c>
      <c r="L203" s="30"/>
      <c r="M203" s="101"/>
      <c r="N203" s="101"/>
      <c r="O203" s="222"/>
      <c r="P203" s="7">
        <f>O201</f>
        <v>99.512284338230813</v>
      </c>
      <c r="Q203" s="7">
        <f>(I203+P203)/2</f>
        <v>99.756142169115407</v>
      </c>
      <c r="R203" s="355" t="s">
        <v>361</v>
      </c>
      <c r="S203" s="639"/>
      <c r="T203" s="297"/>
      <c r="U203" s="180"/>
    </row>
    <row r="204" spans="1:21" s="13" customFormat="1" ht="99" customHeight="1" x14ac:dyDescent="0.25">
      <c r="A204" s="629"/>
      <c r="B204" s="630"/>
      <c r="C204" s="369" t="s">
        <v>28</v>
      </c>
      <c r="D204" s="23" t="s">
        <v>240</v>
      </c>
      <c r="E204" s="357"/>
      <c r="F204" s="218"/>
      <c r="G204" s="218"/>
      <c r="H204" s="216"/>
      <c r="I204" s="49"/>
      <c r="J204" s="354" t="str">
        <f>C204</f>
        <v>III</v>
      </c>
      <c r="K204" s="22" t="str">
        <f>D204</f>
        <v>Реализация дополнительных общеобразовательных предпрофессиональных программ в области искусств - струнные инструменты</v>
      </c>
      <c r="L204" s="357"/>
      <c r="M204" s="38"/>
      <c r="N204" s="38"/>
      <c r="O204" s="216"/>
      <c r="P204" s="82"/>
      <c r="Q204" s="353"/>
      <c r="R204" s="354"/>
      <c r="S204" s="639"/>
      <c r="T204" s="297"/>
      <c r="U204" s="270"/>
    </row>
    <row r="205" spans="1:21" ht="110.25" customHeight="1" x14ac:dyDescent="0.25">
      <c r="A205" s="629"/>
      <c r="B205" s="630"/>
      <c r="C205" s="371" t="s">
        <v>29</v>
      </c>
      <c r="D205" s="377" t="s">
        <v>238</v>
      </c>
      <c r="E205" s="357" t="s">
        <v>25</v>
      </c>
      <c r="F205" s="15" t="s">
        <v>442</v>
      </c>
      <c r="G205" s="367">
        <v>82.1</v>
      </c>
      <c r="H205" s="367">
        <v>100</v>
      </c>
      <c r="I205" s="51"/>
      <c r="J205" s="357" t="str">
        <f>C205</f>
        <v>3.1.</v>
      </c>
      <c r="K205" s="361" t="s">
        <v>89</v>
      </c>
      <c r="L205" s="357" t="s">
        <v>355</v>
      </c>
      <c r="M205" s="236">
        <v>8011</v>
      </c>
      <c r="N205" s="236">
        <v>7920</v>
      </c>
      <c r="O205" s="367">
        <f t="shared" si="22"/>
        <v>98.864061914867065</v>
      </c>
      <c r="P205" s="84"/>
      <c r="Q205" s="353"/>
      <c r="R205" s="354"/>
      <c r="S205" s="639"/>
      <c r="T205" s="297"/>
    </row>
    <row r="206" spans="1:21" ht="62.25" customHeight="1" x14ac:dyDescent="0.25">
      <c r="A206" s="629"/>
      <c r="B206" s="630"/>
      <c r="C206" s="371" t="s">
        <v>30</v>
      </c>
      <c r="D206" s="377" t="s">
        <v>34</v>
      </c>
      <c r="E206" s="357" t="s">
        <v>25</v>
      </c>
      <c r="F206" s="15" t="s">
        <v>354</v>
      </c>
      <c r="G206" s="238">
        <v>0</v>
      </c>
      <c r="H206" s="367">
        <v>100</v>
      </c>
      <c r="I206" s="51"/>
      <c r="J206" s="357"/>
      <c r="K206" s="361"/>
      <c r="L206" s="357"/>
      <c r="M206" s="357"/>
      <c r="N206" s="357"/>
      <c r="O206" s="367"/>
      <c r="P206" s="84"/>
      <c r="Q206" s="353"/>
      <c r="R206" s="354"/>
      <c r="S206" s="639"/>
      <c r="T206" s="297"/>
    </row>
    <row r="207" spans="1:21" s="16" customFormat="1" ht="33" x14ac:dyDescent="0.25">
      <c r="A207" s="629"/>
      <c r="B207" s="630"/>
      <c r="C207" s="171"/>
      <c r="D207" s="21" t="s">
        <v>6</v>
      </c>
      <c r="E207" s="30"/>
      <c r="F207" s="229"/>
      <c r="G207" s="230"/>
      <c r="H207" s="222"/>
      <c r="I207" s="7">
        <f>(H205+H206)/2</f>
        <v>100</v>
      </c>
      <c r="J207" s="30"/>
      <c r="K207" s="21" t="s">
        <v>6</v>
      </c>
      <c r="L207" s="30"/>
      <c r="M207" s="101"/>
      <c r="N207" s="101"/>
      <c r="O207" s="222"/>
      <c r="P207" s="7">
        <f>O205</f>
        <v>98.864061914867065</v>
      </c>
      <c r="Q207" s="7">
        <f>(I207+P207)/2</f>
        <v>99.43203095743354</v>
      </c>
      <c r="R207" s="355" t="s">
        <v>361</v>
      </c>
      <c r="S207" s="639"/>
      <c r="T207" s="297"/>
      <c r="U207" s="180"/>
    </row>
    <row r="208" spans="1:21" s="13" customFormat="1" ht="106.5" customHeight="1" x14ac:dyDescent="0.25">
      <c r="A208" s="629"/>
      <c r="B208" s="630"/>
      <c r="C208" s="369" t="s">
        <v>42</v>
      </c>
      <c r="D208" s="23" t="s">
        <v>241</v>
      </c>
      <c r="E208" s="357"/>
      <c r="F208" s="218"/>
      <c r="G208" s="218"/>
      <c r="H208" s="216"/>
      <c r="I208" s="49"/>
      <c r="J208" s="354" t="str">
        <f>C208</f>
        <v>IV</v>
      </c>
      <c r="K208" s="22" t="str">
        <f>D208</f>
        <v>Реализация дополнительных общеобразовательных предпрофессиональных программ в области искусств - народные инструменты</v>
      </c>
      <c r="L208" s="357"/>
      <c r="M208" s="38"/>
      <c r="N208" s="38"/>
      <c r="O208" s="216"/>
      <c r="P208" s="82"/>
      <c r="Q208" s="353"/>
      <c r="R208" s="354"/>
      <c r="S208" s="639"/>
      <c r="T208" s="297"/>
      <c r="U208" s="270"/>
    </row>
    <row r="209" spans="1:21" ht="111" customHeight="1" x14ac:dyDescent="0.25">
      <c r="A209" s="629"/>
      <c r="B209" s="630"/>
      <c r="C209" s="371" t="s">
        <v>43</v>
      </c>
      <c r="D209" s="377" t="s">
        <v>238</v>
      </c>
      <c r="E209" s="357" t="s">
        <v>25</v>
      </c>
      <c r="F209" s="15" t="s">
        <v>442</v>
      </c>
      <c r="G209" s="367">
        <v>82.1</v>
      </c>
      <c r="H209" s="367">
        <v>100</v>
      </c>
      <c r="I209" s="51"/>
      <c r="J209" s="357" t="str">
        <f>C209</f>
        <v>4.1.</v>
      </c>
      <c r="K209" s="361" t="s">
        <v>89</v>
      </c>
      <c r="L209" s="357" t="s">
        <v>355</v>
      </c>
      <c r="M209" s="237">
        <v>14914</v>
      </c>
      <c r="N209" s="237">
        <v>14821</v>
      </c>
      <c r="O209" s="367">
        <f t="shared" si="22"/>
        <v>99.376424835724819</v>
      </c>
      <c r="P209" s="84"/>
      <c r="Q209" s="353"/>
      <c r="R209" s="354"/>
      <c r="S209" s="639"/>
      <c r="T209" s="297"/>
    </row>
    <row r="210" spans="1:21" ht="59.25" customHeight="1" x14ac:dyDescent="0.25">
      <c r="A210" s="629"/>
      <c r="B210" s="630"/>
      <c r="C210" s="371" t="s">
        <v>137</v>
      </c>
      <c r="D210" s="377" t="s">
        <v>34</v>
      </c>
      <c r="E210" s="357" t="s">
        <v>25</v>
      </c>
      <c r="F210" s="15" t="s">
        <v>354</v>
      </c>
      <c r="G210" s="238">
        <v>0</v>
      </c>
      <c r="H210" s="367">
        <v>100</v>
      </c>
      <c r="I210" s="51"/>
      <c r="J210" s="357"/>
      <c r="K210" s="361"/>
      <c r="L210" s="357"/>
      <c r="M210" s="357"/>
      <c r="N210" s="357"/>
      <c r="O210" s="367"/>
      <c r="P210" s="84"/>
      <c r="Q210" s="353"/>
      <c r="R210" s="354"/>
      <c r="S210" s="639"/>
      <c r="T210" s="297"/>
    </row>
    <row r="211" spans="1:21" s="16" customFormat="1" ht="33" x14ac:dyDescent="0.25">
      <c r="A211" s="629"/>
      <c r="B211" s="630"/>
      <c r="C211" s="171"/>
      <c r="D211" s="21" t="s">
        <v>6</v>
      </c>
      <c r="E211" s="30"/>
      <c r="F211" s="229"/>
      <c r="G211" s="230"/>
      <c r="H211" s="222"/>
      <c r="I211" s="7">
        <f>(H209+H210)/2</f>
        <v>100</v>
      </c>
      <c r="J211" s="30"/>
      <c r="K211" s="21" t="s">
        <v>6</v>
      </c>
      <c r="L211" s="30"/>
      <c r="M211" s="101"/>
      <c r="N211" s="101"/>
      <c r="O211" s="222"/>
      <c r="P211" s="7">
        <f>O209</f>
        <v>99.376424835724819</v>
      </c>
      <c r="Q211" s="7">
        <f>(I211+P211)/2</f>
        <v>99.688212417862417</v>
      </c>
      <c r="R211" s="355" t="s">
        <v>361</v>
      </c>
      <c r="S211" s="639"/>
      <c r="T211" s="297"/>
      <c r="U211" s="180"/>
    </row>
    <row r="212" spans="1:21" s="13" customFormat="1" ht="112.5" customHeight="1" x14ac:dyDescent="0.25">
      <c r="A212" s="629"/>
      <c r="B212" s="630"/>
      <c r="C212" s="369" t="s">
        <v>164</v>
      </c>
      <c r="D212" s="23" t="s">
        <v>439</v>
      </c>
      <c r="E212" s="357"/>
      <c r="F212" s="218"/>
      <c r="G212" s="218"/>
      <c r="H212" s="216"/>
      <c r="I212" s="49"/>
      <c r="J212" s="354" t="str">
        <f>C212</f>
        <v>V</v>
      </c>
      <c r="K212" s="22" t="str">
        <f>D212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12" s="357"/>
      <c r="M212" s="38"/>
      <c r="N212" s="38"/>
      <c r="O212" s="216"/>
      <c r="P212" s="82"/>
      <c r="Q212" s="353"/>
      <c r="R212" s="354"/>
      <c r="S212" s="639"/>
      <c r="T212" s="297"/>
      <c r="U212" s="270"/>
    </row>
    <row r="213" spans="1:21" ht="111.75" customHeight="1" x14ac:dyDescent="0.25">
      <c r="A213" s="629"/>
      <c r="B213" s="630"/>
      <c r="C213" s="371" t="s">
        <v>165</v>
      </c>
      <c r="D213" s="377" t="s">
        <v>238</v>
      </c>
      <c r="E213" s="357" t="s">
        <v>25</v>
      </c>
      <c r="F213" s="15" t="s">
        <v>442</v>
      </c>
      <c r="G213" s="367">
        <v>82.1</v>
      </c>
      <c r="H213" s="367">
        <v>100</v>
      </c>
      <c r="I213" s="51"/>
      <c r="J213" s="357" t="str">
        <f>C213</f>
        <v>5.1.</v>
      </c>
      <c r="K213" s="361" t="s">
        <v>89</v>
      </c>
      <c r="L213" s="357" t="s">
        <v>355</v>
      </c>
      <c r="M213" s="237">
        <v>19085</v>
      </c>
      <c r="N213" s="237">
        <v>19085</v>
      </c>
      <c r="O213" s="367">
        <f t="shared" si="22"/>
        <v>100</v>
      </c>
      <c r="P213" s="84"/>
      <c r="Q213" s="353"/>
      <c r="R213" s="354"/>
      <c r="S213" s="639"/>
      <c r="T213" s="297"/>
    </row>
    <row r="214" spans="1:21" ht="74.25" customHeight="1" x14ac:dyDescent="0.25">
      <c r="A214" s="629"/>
      <c r="B214" s="630"/>
      <c r="C214" s="371" t="s">
        <v>166</v>
      </c>
      <c r="D214" s="377" t="s">
        <v>34</v>
      </c>
      <c r="E214" s="357" t="s">
        <v>25</v>
      </c>
      <c r="F214" s="15" t="s">
        <v>354</v>
      </c>
      <c r="G214" s="238">
        <v>0</v>
      </c>
      <c r="H214" s="367">
        <v>100</v>
      </c>
      <c r="I214" s="51"/>
      <c r="J214" s="357"/>
      <c r="K214" s="361"/>
      <c r="L214" s="357"/>
      <c r="M214" s="357"/>
      <c r="N214" s="357"/>
      <c r="O214" s="367"/>
      <c r="P214" s="84"/>
      <c r="Q214" s="353"/>
      <c r="R214" s="354"/>
      <c r="S214" s="639"/>
      <c r="T214" s="297"/>
    </row>
    <row r="215" spans="1:21" s="16" customFormat="1" ht="33" x14ac:dyDescent="0.25">
      <c r="A215" s="629"/>
      <c r="B215" s="630"/>
      <c r="C215" s="171"/>
      <c r="D215" s="21" t="s">
        <v>6</v>
      </c>
      <c r="E215" s="30"/>
      <c r="F215" s="229"/>
      <c r="G215" s="230"/>
      <c r="H215" s="222"/>
      <c r="I215" s="7">
        <f>(H213+H214)/2</f>
        <v>100</v>
      </c>
      <c r="J215" s="30"/>
      <c r="K215" s="21" t="s">
        <v>6</v>
      </c>
      <c r="L215" s="30"/>
      <c r="M215" s="101"/>
      <c r="N215" s="101"/>
      <c r="O215" s="222"/>
      <c r="P215" s="7">
        <f>O213</f>
        <v>100</v>
      </c>
      <c r="Q215" s="7">
        <f>(I215+P215)/2</f>
        <v>100</v>
      </c>
      <c r="R215" s="355" t="s">
        <v>31</v>
      </c>
      <c r="S215" s="639"/>
      <c r="T215" s="297"/>
      <c r="U215" s="180"/>
    </row>
    <row r="216" spans="1:21" s="13" customFormat="1" ht="108.75" customHeight="1" x14ac:dyDescent="0.25">
      <c r="A216" s="629"/>
      <c r="B216" s="630"/>
      <c r="C216" s="369" t="s">
        <v>170</v>
      </c>
      <c r="D216" s="23" t="s">
        <v>245</v>
      </c>
      <c r="E216" s="357"/>
      <c r="F216" s="218"/>
      <c r="G216" s="218"/>
      <c r="H216" s="216"/>
      <c r="I216" s="49"/>
      <c r="J216" s="354" t="str">
        <f>C216</f>
        <v>VI</v>
      </c>
      <c r="K216" s="22" t="str">
        <f>D216</f>
        <v>Реализация дополнительных общеобразовательных предпрофессиональных программ в области искусств - живопись</v>
      </c>
      <c r="L216" s="357"/>
      <c r="M216" s="38"/>
      <c r="N216" s="38"/>
      <c r="O216" s="216"/>
      <c r="P216" s="82"/>
      <c r="Q216" s="353"/>
      <c r="R216" s="354"/>
      <c r="S216" s="639"/>
      <c r="T216" s="297"/>
      <c r="U216" s="270"/>
    </row>
    <row r="217" spans="1:21" ht="109.5" customHeight="1" x14ac:dyDescent="0.25">
      <c r="A217" s="629"/>
      <c r="B217" s="630"/>
      <c r="C217" s="371" t="s">
        <v>171</v>
      </c>
      <c r="D217" s="377" t="s">
        <v>238</v>
      </c>
      <c r="E217" s="357" t="s">
        <v>25</v>
      </c>
      <c r="F217" s="15" t="s">
        <v>442</v>
      </c>
      <c r="G217" s="367">
        <v>82.1</v>
      </c>
      <c r="H217" s="367">
        <v>100</v>
      </c>
      <c r="I217" s="51"/>
      <c r="J217" s="357" t="str">
        <f>C217</f>
        <v>6.1.</v>
      </c>
      <c r="K217" s="361" t="s">
        <v>89</v>
      </c>
      <c r="L217" s="357" t="s">
        <v>355</v>
      </c>
      <c r="M217" s="237">
        <v>31833</v>
      </c>
      <c r="N217" s="237">
        <v>31833</v>
      </c>
      <c r="O217" s="367">
        <f t="shared" si="22"/>
        <v>100</v>
      </c>
      <c r="P217" s="84"/>
      <c r="Q217" s="353"/>
      <c r="R217" s="354"/>
      <c r="S217" s="639"/>
      <c r="T217" s="297"/>
    </row>
    <row r="218" spans="1:21" ht="74.25" customHeight="1" x14ac:dyDescent="0.25">
      <c r="A218" s="629"/>
      <c r="B218" s="630"/>
      <c r="C218" s="371" t="s">
        <v>172</v>
      </c>
      <c r="D218" s="377" t="s">
        <v>34</v>
      </c>
      <c r="E218" s="357" t="s">
        <v>25</v>
      </c>
      <c r="F218" s="15" t="s">
        <v>354</v>
      </c>
      <c r="G218" s="238">
        <v>0</v>
      </c>
      <c r="H218" s="367">
        <v>100</v>
      </c>
      <c r="I218" s="51"/>
      <c r="J218" s="357"/>
      <c r="K218" s="361"/>
      <c r="L218" s="357"/>
      <c r="M218" s="357"/>
      <c r="N218" s="357"/>
      <c r="O218" s="367"/>
      <c r="P218" s="84"/>
      <c r="Q218" s="353"/>
      <c r="R218" s="354"/>
      <c r="S218" s="639"/>
      <c r="T218" s="297"/>
    </row>
    <row r="219" spans="1:21" s="16" customFormat="1" ht="33" x14ac:dyDescent="0.25">
      <c r="A219" s="629"/>
      <c r="B219" s="630"/>
      <c r="C219" s="171"/>
      <c r="D219" s="21" t="s">
        <v>6</v>
      </c>
      <c r="E219" s="30"/>
      <c r="F219" s="229"/>
      <c r="G219" s="230"/>
      <c r="H219" s="222"/>
      <c r="I219" s="7">
        <f>(H217+H218)/2</f>
        <v>100</v>
      </c>
      <c r="J219" s="30"/>
      <c r="K219" s="21" t="s">
        <v>6</v>
      </c>
      <c r="L219" s="30"/>
      <c r="M219" s="101"/>
      <c r="N219" s="101"/>
      <c r="O219" s="222"/>
      <c r="P219" s="7">
        <f>O217</f>
        <v>100</v>
      </c>
      <c r="Q219" s="7">
        <f>(I219+P219)/2</f>
        <v>100</v>
      </c>
      <c r="R219" s="355" t="s">
        <v>31</v>
      </c>
      <c r="S219" s="639"/>
      <c r="T219" s="297"/>
      <c r="U219" s="180"/>
    </row>
    <row r="220" spans="1:21" s="13" customFormat="1" ht="114.75" customHeight="1" x14ac:dyDescent="0.25">
      <c r="A220" s="629"/>
      <c r="B220" s="630"/>
      <c r="C220" s="369" t="s">
        <v>207</v>
      </c>
      <c r="D220" s="23" t="s">
        <v>246</v>
      </c>
      <c r="E220" s="357"/>
      <c r="F220" s="218"/>
      <c r="G220" s="218"/>
      <c r="H220" s="216"/>
      <c r="I220" s="49"/>
      <c r="J220" s="354" t="str">
        <f>C220</f>
        <v>VII</v>
      </c>
      <c r="K220" s="22" t="str">
        <f>D220</f>
        <v>Реализация дополнительных общеобразовательных предпрофессиональных программ в области искусств - дизайн</v>
      </c>
      <c r="L220" s="357"/>
      <c r="M220" s="38"/>
      <c r="N220" s="38"/>
      <c r="O220" s="216"/>
      <c r="P220" s="82"/>
      <c r="Q220" s="353"/>
      <c r="R220" s="354"/>
      <c r="S220" s="639"/>
      <c r="T220" s="297"/>
      <c r="U220" s="270"/>
    </row>
    <row r="221" spans="1:21" ht="119.25" customHeight="1" x14ac:dyDescent="0.25">
      <c r="A221" s="629"/>
      <c r="B221" s="630"/>
      <c r="C221" s="371" t="s">
        <v>208</v>
      </c>
      <c r="D221" s="377" t="s">
        <v>238</v>
      </c>
      <c r="E221" s="357" t="s">
        <v>25</v>
      </c>
      <c r="F221" s="15" t="s">
        <v>442</v>
      </c>
      <c r="G221" s="367">
        <v>82.1</v>
      </c>
      <c r="H221" s="367">
        <v>100</v>
      </c>
      <c r="I221" s="51"/>
      <c r="J221" s="357" t="str">
        <f>C221</f>
        <v>7.1.</v>
      </c>
      <c r="K221" s="361" t="s">
        <v>89</v>
      </c>
      <c r="L221" s="357" t="s">
        <v>355</v>
      </c>
      <c r="M221" s="237">
        <v>7783</v>
      </c>
      <c r="N221" s="237">
        <v>7783</v>
      </c>
      <c r="O221" s="367">
        <f t="shared" ref="O221:O291" si="25">IF(N221/M221*100&gt;110,110,N221/M221*100)</f>
        <v>100</v>
      </c>
      <c r="P221" s="84"/>
      <c r="Q221" s="353"/>
      <c r="R221" s="354"/>
      <c r="S221" s="639"/>
      <c r="T221" s="297"/>
    </row>
    <row r="222" spans="1:21" ht="74.25" customHeight="1" x14ac:dyDescent="0.25">
      <c r="A222" s="629"/>
      <c r="B222" s="630"/>
      <c r="C222" s="371" t="s">
        <v>212</v>
      </c>
      <c r="D222" s="377" t="s">
        <v>34</v>
      </c>
      <c r="E222" s="357" t="s">
        <v>25</v>
      </c>
      <c r="F222" s="15" t="s">
        <v>354</v>
      </c>
      <c r="G222" s="238">
        <v>0</v>
      </c>
      <c r="H222" s="367">
        <v>100</v>
      </c>
      <c r="I222" s="51"/>
      <c r="J222" s="357"/>
      <c r="K222" s="361"/>
      <c r="L222" s="357"/>
      <c r="M222" s="357"/>
      <c r="N222" s="357"/>
      <c r="O222" s="367"/>
      <c r="P222" s="84"/>
      <c r="Q222" s="353"/>
      <c r="R222" s="354"/>
      <c r="S222" s="639"/>
      <c r="T222" s="297"/>
    </row>
    <row r="223" spans="1:21" s="16" customFormat="1" ht="33" x14ac:dyDescent="0.25">
      <c r="A223" s="629"/>
      <c r="B223" s="630"/>
      <c r="C223" s="171"/>
      <c r="D223" s="21" t="s">
        <v>6</v>
      </c>
      <c r="E223" s="30"/>
      <c r="F223" s="229"/>
      <c r="G223" s="230"/>
      <c r="H223" s="222"/>
      <c r="I223" s="7">
        <f>(H221+H222)/2</f>
        <v>100</v>
      </c>
      <c r="J223" s="30"/>
      <c r="K223" s="21" t="s">
        <v>6</v>
      </c>
      <c r="L223" s="30"/>
      <c r="M223" s="101"/>
      <c r="N223" s="101"/>
      <c r="O223" s="222"/>
      <c r="P223" s="7">
        <f>O221</f>
        <v>100</v>
      </c>
      <c r="Q223" s="7">
        <f>(I223+P223)/2</f>
        <v>100</v>
      </c>
      <c r="R223" s="355" t="s">
        <v>31</v>
      </c>
      <c r="S223" s="639"/>
      <c r="T223" s="297"/>
      <c r="U223" s="180"/>
    </row>
    <row r="224" spans="1:21" s="13" customFormat="1" ht="105.75" customHeight="1" x14ac:dyDescent="0.25">
      <c r="A224" s="629"/>
      <c r="B224" s="630"/>
      <c r="C224" s="369" t="s">
        <v>209</v>
      </c>
      <c r="D224" s="23" t="s">
        <v>440</v>
      </c>
      <c r="E224" s="357"/>
      <c r="F224" s="218"/>
      <c r="G224" s="218"/>
      <c r="H224" s="216"/>
      <c r="I224" s="49"/>
      <c r="J224" s="354" t="str">
        <f>C224</f>
        <v>VIII</v>
      </c>
      <c r="K224" s="22" t="str">
        <f>D224</f>
        <v>Реализация дополнительных общеобразовательных общеразвивающих программ</v>
      </c>
      <c r="L224" s="357"/>
      <c r="M224" s="38"/>
      <c r="N224" s="38"/>
      <c r="O224" s="216"/>
      <c r="P224" s="82"/>
      <c r="Q224" s="353"/>
      <c r="R224" s="354"/>
      <c r="S224" s="639"/>
      <c r="T224" s="297"/>
      <c r="U224" s="270"/>
    </row>
    <row r="225" spans="1:21" ht="107.25" customHeight="1" x14ac:dyDescent="0.25">
      <c r="A225" s="629"/>
      <c r="B225" s="630"/>
      <c r="C225" s="371" t="s">
        <v>210</v>
      </c>
      <c r="D225" s="377" t="s">
        <v>243</v>
      </c>
      <c r="E225" s="357" t="s">
        <v>25</v>
      </c>
      <c r="F225" s="15" t="s">
        <v>584</v>
      </c>
      <c r="G225" s="367">
        <v>17.899999999999999</v>
      </c>
      <c r="H225" s="367">
        <v>100</v>
      </c>
      <c r="I225" s="51"/>
      <c r="J225" s="357" t="str">
        <f>C225</f>
        <v>8.1.</v>
      </c>
      <c r="K225" s="547" t="s">
        <v>360</v>
      </c>
      <c r="L225" s="357" t="s">
        <v>204</v>
      </c>
      <c r="M225" s="365">
        <v>17185</v>
      </c>
      <c r="N225" s="365">
        <v>17042</v>
      </c>
      <c r="O225" s="367">
        <f t="shared" si="25"/>
        <v>99.167878964212974</v>
      </c>
      <c r="P225" s="84"/>
      <c r="Q225" s="353"/>
      <c r="R225" s="354"/>
      <c r="S225" s="639"/>
      <c r="T225" s="297"/>
    </row>
    <row r="226" spans="1:21" ht="78.75" customHeight="1" x14ac:dyDescent="0.25">
      <c r="A226" s="629"/>
      <c r="B226" s="630"/>
      <c r="C226" s="371" t="s">
        <v>249</v>
      </c>
      <c r="D226" s="377" t="s">
        <v>34</v>
      </c>
      <c r="E226" s="357" t="s">
        <v>25</v>
      </c>
      <c r="F226" s="15" t="s">
        <v>354</v>
      </c>
      <c r="G226" s="238">
        <v>0</v>
      </c>
      <c r="H226" s="367">
        <v>100</v>
      </c>
      <c r="I226" s="51"/>
      <c r="J226" s="357"/>
      <c r="K226" s="361"/>
      <c r="L226" s="357"/>
      <c r="M226" s="357"/>
      <c r="N226" s="357"/>
      <c r="O226" s="367"/>
      <c r="P226" s="84"/>
      <c r="Q226" s="353"/>
      <c r="R226" s="354"/>
      <c r="S226" s="639"/>
      <c r="T226" s="297"/>
    </row>
    <row r="227" spans="1:21" ht="78.75" customHeight="1" x14ac:dyDescent="0.25">
      <c r="A227" s="629"/>
      <c r="B227" s="630"/>
      <c r="C227" s="371" t="s">
        <v>277</v>
      </c>
      <c r="D227" s="377" t="s">
        <v>485</v>
      </c>
      <c r="E227" s="357" t="s">
        <v>38</v>
      </c>
      <c r="F227" s="239">
        <v>77</v>
      </c>
      <c r="G227" s="218">
        <v>77</v>
      </c>
      <c r="H227" s="367">
        <f>IF(G227/F227*100&gt;100,100,G227/F227*100)</f>
        <v>100</v>
      </c>
      <c r="I227" s="51"/>
      <c r="J227" s="357"/>
      <c r="K227" s="361"/>
      <c r="L227" s="357"/>
      <c r="M227" s="357"/>
      <c r="N227" s="357"/>
      <c r="O227" s="367"/>
      <c r="P227" s="84"/>
      <c r="Q227" s="353"/>
      <c r="R227" s="354"/>
      <c r="S227" s="639"/>
      <c r="T227" s="297"/>
    </row>
    <row r="228" spans="1:21" ht="45.75" customHeight="1" x14ac:dyDescent="0.25">
      <c r="A228" s="629"/>
      <c r="B228" s="630"/>
      <c r="C228" s="30"/>
      <c r="D228" s="21" t="s">
        <v>6</v>
      </c>
      <c r="E228" s="30"/>
      <c r="F228" s="222"/>
      <c r="G228" s="222"/>
      <c r="H228" s="222"/>
      <c r="I228" s="7">
        <f>(H225+H226+H227)/3</f>
        <v>100</v>
      </c>
      <c r="J228" s="30"/>
      <c r="K228" s="21" t="s">
        <v>6</v>
      </c>
      <c r="L228" s="30"/>
      <c r="M228" s="30"/>
      <c r="N228" s="30"/>
      <c r="O228" s="222"/>
      <c r="P228" s="7">
        <f>O225</f>
        <v>99.167878964212974</v>
      </c>
      <c r="Q228" s="7">
        <f>(I228+P228)/2</f>
        <v>99.583939482106487</v>
      </c>
      <c r="R228" s="355" t="s">
        <v>361</v>
      </c>
      <c r="S228" s="639"/>
      <c r="T228" s="297"/>
    </row>
    <row r="229" spans="1:21" s="13" customFormat="1" ht="90" customHeight="1" x14ac:dyDescent="0.25">
      <c r="A229" s="629" t="s">
        <v>82</v>
      </c>
      <c r="B229" s="630" t="s">
        <v>250</v>
      </c>
      <c r="C229" s="354" t="s">
        <v>12</v>
      </c>
      <c r="D229" s="23" t="s">
        <v>237</v>
      </c>
      <c r="E229" s="357"/>
      <c r="F229" s="15"/>
      <c r="G229" s="218"/>
      <c r="H229" s="216"/>
      <c r="I229" s="49"/>
      <c r="J229" s="354" t="s">
        <v>12</v>
      </c>
      <c r="K229" s="361" t="str">
        <f>D229</f>
        <v>Реализация дополнительных общеобразовательных предпрофессиональных программ в области искусств - фортепиано</v>
      </c>
      <c r="L229" s="357"/>
      <c r="M229" s="38"/>
      <c r="N229" s="38"/>
      <c r="O229" s="216"/>
      <c r="P229" s="82"/>
      <c r="Q229" s="353"/>
      <c r="R229" s="354"/>
      <c r="S229" s="647" t="s">
        <v>280</v>
      </c>
      <c r="T229" s="297"/>
      <c r="U229" s="270"/>
    </row>
    <row r="230" spans="1:21" ht="123.75" customHeight="1" x14ac:dyDescent="0.25">
      <c r="A230" s="629"/>
      <c r="B230" s="630"/>
      <c r="C230" s="357" t="s">
        <v>7</v>
      </c>
      <c r="D230" s="377" t="s">
        <v>238</v>
      </c>
      <c r="E230" s="357" t="s">
        <v>25</v>
      </c>
      <c r="F230" s="15" t="s">
        <v>442</v>
      </c>
      <c r="G230" s="367">
        <v>90</v>
      </c>
      <c r="H230" s="367">
        <v>100</v>
      </c>
      <c r="I230" s="51"/>
      <c r="J230" s="357" t="str">
        <f>C230</f>
        <v>1.1.</v>
      </c>
      <c r="K230" s="361" t="s">
        <v>360</v>
      </c>
      <c r="L230" s="357" t="s">
        <v>355</v>
      </c>
      <c r="M230" s="237">
        <v>12358</v>
      </c>
      <c r="N230" s="237">
        <v>12358</v>
      </c>
      <c r="O230" s="367">
        <f t="shared" si="25"/>
        <v>100</v>
      </c>
      <c r="P230" s="84"/>
      <c r="Q230" s="353"/>
      <c r="R230" s="354"/>
      <c r="S230" s="647"/>
      <c r="T230" s="297"/>
    </row>
    <row r="231" spans="1:21" ht="49.5" x14ac:dyDescent="0.25">
      <c r="A231" s="629"/>
      <c r="B231" s="630"/>
      <c r="C231" s="357" t="s">
        <v>8</v>
      </c>
      <c r="D231" s="377" t="s">
        <v>34</v>
      </c>
      <c r="E231" s="357" t="s">
        <v>25</v>
      </c>
      <c r="F231" s="15" t="s">
        <v>354</v>
      </c>
      <c r="G231" s="238">
        <v>0</v>
      </c>
      <c r="H231" s="367">
        <v>100</v>
      </c>
      <c r="I231" s="51"/>
      <c r="J231" s="357"/>
      <c r="K231" s="361"/>
      <c r="L231" s="357"/>
      <c r="M231" s="357"/>
      <c r="N231" s="357"/>
      <c r="O231" s="367"/>
      <c r="P231" s="84"/>
      <c r="Q231" s="353"/>
      <c r="R231" s="354"/>
      <c r="S231" s="647"/>
      <c r="T231" s="297"/>
    </row>
    <row r="232" spans="1:21" s="16" customFormat="1" ht="33" x14ac:dyDescent="0.25">
      <c r="A232" s="629"/>
      <c r="B232" s="630"/>
      <c r="C232" s="171"/>
      <c r="D232" s="21" t="s">
        <v>6</v>
      </c>
      <c r="E232" s="30"/>
      <c r="F232" s="100"/>
      <c r="G232" s="230"/>
      <c r="H232" s="222"/>
      <c r="I232" s="7">
        <f>(H230+H231)/2</f>
        <v>100</v>
      </c>
      <c r="J232" s="30"/>
      <c r="K232" s="21" t="s">
        <v>6</v>
      </c>
      <c r="L232" s="30"/>
      <c r="M232" s="101"/>
      <c r="N232" s="101"/>
      <c r="O232" s="222"/>
      <c r="P232" s="7">
        <f>O230</f>
        <v>100</v>
      </c>
      <c r="Q232" s="7">
        <f>(I232+P232)/2</f>
        <v>100</v>
      </c>
      <c r="R232" s="355" t="s">
        <v>31</v>
      </c>
      <c r="S232" s="639"/>
      <c r="T232" s="297"/>
      <c r="U232" s="180"/>
    </row>
    <row r="233" spans="1:21" s="13" customFormat="1" ht="111.75" customHeight="1" x14ac:dyDescent="0.25">
      <c r="A233" s="629"/>
      <c r="B233" s="630"/>
      <c r="C233" s="354" t="s">
        <v>13</v>
      </c>
      <c r="D233" s="23" t="s">
        <v>239</v>
      </c>
      <c r="E233" s="357"/>
      <c r="F233" s="15"/>
      <c r="G233" s="218"/>
      <c r="H233" s="216"/>
      <c r="I233" s="49"/>
      <c r="J233" s="354" t="s">
        <v>13</v>
      </c>
      <c r="K233" s="22" t="str">
        <f>D233</f>
        <v>Реализация дополнительных общеобразовательных предпрофессиональных программ в области искусств - духовые и ударные инструменты</v>
      </c>
      <c r="L233" s="357"/>
      <c r="M233" s="38"/>
      <c r="N233" s="38"/>
      <c r="O233" s="216"/>
      <c r="P233" s="82"/>
      <c r="Q233" s="353"/>
      <c r="R233" s="354"/>
      <c r="S233" s="647"/>
      <c r="T233" s="297"/>
      <c r="U233" s="270"/>
    </row>
    <row r="234" spans="1:21" ht="118.5" customHeight="1" x14ac:dyDescent="0.25">
      <c r="A234" s="629"/>
      <c r="B234" s="630"/>
      <c r="C234" s="357" t="s">
        <v>14</v>
      </c>
      <c r="D234" s="377" t="s">
        <v>238</v>
      </c>
      <c r="E234" s="357" t="s">
        <v>25</v>
      </c>
      <c r="F234" s="15" t="s">
        <v>442</v>
      </c>
      <c r="G234" s="367">
        <v>90</v>
      </c>
      <c r="H234" s="367">
        <v>100</v>
      </c>
      <c r="I234" s="51"/>
      <c r="J234" s="357" t="s">
        <v>14</v>
      </c>
      <c r="K234" s="361" t="s">
        <v>360</v>
      </c>
      <c r="L234" s="357" t="s">
        <v>355</v>
      </c>
      <c r="M234" s="237">
        <v>16367</v>
      </c>
      <c r="N234" s="237">
        <v>16307</v>
      </c>
      <c r="O234" s="367">
        <f t="shared" si="25"/>
        <v>99.633408688214089</v>
      </c>
      <c r="P234" s="84"/>
      <c r="Q234" s="353"/>
      <c r="R234" s="354"/>
      <c r="S234" s="647"/>
      <c r="T234" s="297"/>
    </row>
    <row r="235" spans="1:21" ht="58.5" customHeight="1" x14ac:dyDescent="0.25">
      <c r="A235" s="629"/>
      <c r="B235" s="630"/>
      <c r="C235" s="357" t="s">
        <v>15</v>
      </c>
      <c r="D235" s="377" t="s">
        <v>34</v>
      </c>
      <c r="E235" s="357" t="s">
        <v>25</v>
      </c>
      <c r="F235" s="15" t="s">
        <v>354</v>
      </c>
      <c r="G235" s="238">
        <v>0</v>
      </c>
      <c r="H235" s="367">
        <v>100</v>
      </c>
      <c r="I235" s="51"/>
      <c r="J235" s="357"/>
      <c r="K235" s="361"/>
      <c r="L235" s="357"/>
      <c r="M235" s="357"/>
      <c r="N235" s="357"/>
      <c r="O235" s="367"/>
      <c r="P235" s="84"/>
      <c r="Q235" s="353"/>
      <c r="R235" s="354"/>
      <c r="S235" s="647"/>
      <c r="T235" s="297"/>
    </row>
    <row r="236" spans="1:21" s="16" customFormat="1" ht="33" x14ac:dyDescent="0.25">
      <c r="A236" s="629"/>
      <c r="B236" s="630"/>
      <c r="C236" s="171"/>
      <c r="D236" s="21" t="s">
        <v>6</v>
      </c>
      <c r="E236" s="30"/>
      <c r="F236" s="100"/>
      <c r="G236" s="230"/>
      <c r="H236" s="222"/>
      <c r="I236" s="7">
        <f>(H234+H235)/2</f>
        <v>100</v>
      </c>
      <c r="J236" s="30"/>
      <c r="K236" s="21" t="s">
        <v>6</v>
      </c>
      <c r="L236" s="30"/>
      <c r="M236" s="101"/>
      <c r="N236" s="101"/>
      <c r="O236" s="222"/>
      <c r="P236" s="7">
        <f>O234</f>
        <v>99.633408688214089</v>
      </c>
      <c r="Q236" s="7">
        <f>(I236+P236)/2</f>
        <v>99.816704344107052</v>
      </c>
      <c r="R236" s="355" t="s">
        <v>361</v>
      </c>
      <c r="S236" s="639"/>
      <c r="T236" s="297"/>
      <c r="U236" s="180"/>
    </row>
    <row r="237" spans="1:21" s="13" customFormat="1" ht="106.5" customHeight="1" x14ac:dyDescent="0.25">
      <c r="A237" s="629"/>
      <c r="B237" s="630"/>
      <c r="C237" s="354" t="s">
        <v>28</v>
      </c>
      <c r="D237" s="23" t="s">
        <v>240</v>
      </c>
      <c r="E237" s="357"/>
      <c r="F237" s="15"/>
      <c r="G237" s="218"/>
      <c r="H237" s="216"/>
      <c r="I237" s="49"/>
      <c r="J237" s="354" t="str">
        <f>C237</f>
        <v>III</v>
      </c>
      <c r="K237" s="22" t="str">
        <f>D237</f>
        <v>Реализация дополнительных общеобразовательных предпрофессиональных программ в области искусств - струнные инструменты</v>
      </c>
      <c r="L237" s="357"/>
      <c r="M237" s="38"/>
      <c r="N237" s="38"/>
      <c r="O237" s="216"/>
      <c r="P237" s="82"/>
      <c r="Q237" s="353"/>
      <c r="R237" s="354"/>
      <c r="S237" s="647"/>
      <c r="T237" s="297"/>
      <c r="U237" s="270"/>
    </row>
    <row r="238" spans="1:21" ht="123" customHeight="1" x14ac:dyDescent="0.25">
      <c r="A238" s="629"/>
      <c r="B238" s="630"/>
      <c r="C238" s="357" t="s">
        <v>29</v>
      </c>
      <c r="D238" s="377" t="s">
        <v>238</v>
      </c>
      <c r="E238" s="357" t="s">
        <v>25</v>
      </c>
      <c r="F238" s="15" t="s">
        <v>442</v>
      </c>
      <c r="G238" s="367">
        <v>90</v>
      </c>
      <c r="H238" s="367">
        <v>100</v>
      </c>
      <c r="I238" s="51"/>
      <c r="J238" s="357" t="str">
        <f>C238</f>
        <v>3.1.</v>
      </c>
      <c r="K238" s="361" t="s">
        <v>360</v>
      </c>
      <c r="L238" s="357" t="s">
        <v>355</v>
      </c>
      <c r="M238" s="237">
        <v>9227</v>
      </c>
      <c r="N238" s="237">
        <v>9101</v>
      </c>
      <c r="O238" s="367">
        <f t="shared" si="25"/>
        <v>98.634442397312242</v>
      </c>
      <c r="P238" s="84"/>
      <c r="Q238" s="353"/>
      <c r="R238" s="354"/>
      <c r="S238" s="647"/>
      <c r="T238" s="297"/>
    </row>
    <row r="239" spans="1:21" ht="64.5" customHeight="1" x14ac:dyDescent="0.25">
      <c r="A239" s="629"/>
      <c r="B239" s="630"/>
      <c r="C239" s="357" t="s">
        <v>30</v>
      </c>
      <c r="D239" s="377" t="s">
        <v>34</v>
      </c>
      <c r="E239" s="357" t="s">
        <v>25</v>
      </c>
      <c r="F239" s="15" t="s">
        <v>354</v>
      </c>
      <c r="G239" s="238">
        <v>0</v>
      </c>
      <c r="H239" s="367">
        <v>100</v>
      </c>
      <c r="I239" s="51"/>
      <c r="J239" s="357"/>
      <c r="K239" s="361"/>
      <c r="L239" s="357"/>
      <c r="M239" s="357"/>
      <c r="N239" s="357"/>
      <c r="O239" s="367"/>
      <c r="P239" s="84"/>
      <c r="Q239" s="353"/>
      <c r="R239" s="354"/>
      <c r="S239" s="647"/>
      <c r="T239" s="297"/>
    </row>
    <row r="240" spans="1:21" s="16" customFormat="1" ht="33" x14ac:dyDescent="0.25">
      <c r="A240" s="629"/>
      <c r="B240" s="630"/>
      <c r="C240" s="171"/>
      <c r="D240" s="21" t="s">
        <v>6</v>
      </c>
      <c r="E240" s="30"/>
      <c r="F240" s="100"/>
      <c r="G240" s="230"/>
      <c r="H240" s="222"/>
      <c r="I240" s="7">
        <f>(H238+H239)/2</f>
        <v>100</v>
      </c>
      <c r="J240" s="30"/>
      <c r="K240" s="21" t="s">
        <v>6</v>
      </c>
      <c r="L240" s="30"/>
      <c r="M240" s="101"/>
      <c r="N240" s="101"/>
      <c r="O240" s="222"/>
      <c r="P240" s="7">
        <f>O238</f>
        <v>98.634442397312242</v>
      </c>
      <c r="Q240" s="7">
        <f>(I240+P240)/2</f>
        <v>99.317221198656114</v>
      </c>
      <c r="R240" s="355" t="s">
        <v>361</v>
      </c>
      <c r="S240" s="639"/>
      <c r="T240" s="297"/>
      <c r="U240" s="180"/>
    </row>
    <row r="241" spans="1:21" s="13" customFormat="1" ht="82.5" x14ac:dyDescent="0.25">
      <c r="A241" s="629"/>
      <c r="B241" s="630"/>
      <c r="C241" s="354" t="s">
        <v>42</v>
      </c>
      <c r="D241" s="23" t="s">
        <v>241</v>
      </c>
      <c r="E241" s="357"/>
      <c r="F241" s="15"/>
      <c r="G241" s="218"/>
      <c r="H241" s="216"/>
      <c r="I241" s="49"/>
      <c r="J241" s="354" t="str">
        <f>C241</f>
        <v>IV</v>
      </c>
      <c r="K241" s="22" t="str">
        <f>D241</f>
        <v>Реализация дополнительных общеобразовательных предпрофессиональных программ в области искусств - народные инструменты</v>
      </c>
      <c r="L241" s="357"/>
      <c r="M241" s="38"/>
      <c r="N241" s="38"/>
      <c r="O241" s="216"/>
      <c r="P241" s="82"/>
      <c r="Q241" s="353"/>
      <c r="R241" s="354"/>
      <c r="S241" s="647"/>
      <c r="T241" s="297"/>
      <c r="U241" s="270"/>
    </row>
    <row r="242" spans="1:21" ht="126" customHeight="1" x14ac:dyDescent="0.25">
      <c r="A242" s="629"/>
      <c r="B242" s="630"/>
      <c r="C242" s="357" t="s">
        <v>43</v>
      </c>
      <c r="D242" s="377" t="s">
        <v>238</v>
      </c>
      <c r="E242" s="357" t="s">
        <v>25</v>
      </c>
      <c r="F242" s="15" t="s">
        <v>442</v>
      </c>
      <c r="G242" s="367">
        <v>90</v>
      </c>
      <c r="H242" s="367">
        <v>100</v>
      </c>
      <c r="I242" s="51"/>
      <c r="J242" s="357" t="str">
        <f>C242</f>
        <v>4.1.</v>
      </c>
      <c r="K242" s="361" t="s">
        <v>360</v>
      </c>
      <c r="L242" s="357" t="s">
        <v>355</v>
      </c>
      <c r="M242" s="237">
        <v>22548</v>
      </c>
      <c r="N242" s="237">
        <v>22241</v>
      </c>
      <c r="O242" s="367">
        <f t="shared" si="25"/>
        <v>98.638460173851342</v>
      </c>
      <c r="P242" s="84"/>
      <c r="Q242" s="353"/>
      <c r="R242" s="354"/>
      <c r="S242" s="647"/>
      <c r="T242" s="297"/>
    </row>
    <row r="243" spans="1:21" ht="49.5" x14ac:dyDescent="0.25">
      <c r="A243" s="629"/>
      <c r="B243" s="630"/>
      <c r="C243" s="357" t="s">
        <v>137</v>
      </c>
      <c r="D243" s="377" t="s">
        <v>34</v>
      </c>
      <c r="E243" s="357" t="s">
        <v>25</v>
      </c>
      <c r="F243" s="15" t="s">
        <v>354</v>
      </c>
      <c r="G243" s="238">
        <v>0</v>
      </c>
      <c r="H243" s="367">
        <v>100</v>
      </c>
      <c r="I243" s="51"/>
      <c r="J243" s="357"/>
      <c r="K243" s="361"/>
      <c r="L243" s="357"/>
      <c r="M243" s="357"/>
      <c r="N243" s="357"/>
      <c r="O243" s="367"/>
      <c r="P243" s="84"/>
      <c r="Q243" s="353"/>
      <c r="R243" s="354"/>
      <c r="S243" s="647"/>
      <c r="T243" s="297"/>
    </row>
    <row r="244" spans="1:21" s="16" customFormat="1" ht="33" x14ac:dyDescent="0.25">
      <c r="A244" s="629"/>
      <c r="B244" s="630"/>
      <c r="C244" s="171"/>
      <c r="D244" s="21" t="s">
        <v>6</v>
      </c>
      <c r="E244" s="30"/>
      <c r="F244" s="100"/>
      <c r="G244" s="230"/>
      <c r="H244" s="222"/>
      <c r="I244" s="7">
        <f>(H242+H243)/2</f>
        <v>100</v>
      </c>
      <c r="J244" s="30"/>
      <c r="K244" s="21" t="s">
        <v>6</v>
      </c>
      <c r="L244" s="30"/>
      <c r="M244" s="101"/>
      <c r="N244" s="101"/>
      <c r="O244" s="222"/>
      <c r="P244" s="7">
        <f>O242</f>
        <v>98.638460173851342</v>
      </c>
      <c r="Q244" s="7">
        <f>(I244+P244)/2</f>
        <v>99.319230086925671</v>
      </c>
      <c r="R244" s="355" t="s">
        <v>361</v>
      </c>
      <c r="S244" s="639"/>
      <c r="T244" s="297"/>
      <c r="U244" s="180"/>
    </row>
    <row r="245" spans="1:21" s="13" customFormat="1" ht="91.5" customHeight="1" x14ac:dyDescent="0.25">
      <c r="A245" s="629"/>
      <c r="B245" s="630"/>
      <c r="C245" s="354" t="s">
        <v>164</v>
      </c>
      <c r="D245" s="23" t="s">
        <v>439</v>
      </c>
      <c r="E245" s="357"/>
      <c r="F245" s="15"/>
      <c r="G245" s="218"/>
      <c r="H245" s="216"/>
      <c r="I245" s="49"/>
      <c r="J245" s="354" t="str">
        <f>C245</f>
        <v>V</v>
      </c>
      <c r="K245" s="22" t="str">
        <f>D245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45" s="357"/>
      <c r="M245" s="38"/>
      <c r="N245" s="38"/>
      <c r="O245" s="216"/>
      <c r="P245" s="82"/>
      <c r="Q245" s="353"/>
      <c r="R245" s="354"/>
      <c r="S245" s="647"/>
      <c r="T245" s="297"/>
      <c r="U245" s="270"/>
    </row>
    <row r="246" spans="1:21" ht="119.25" customHeight="1" x14ac:dyDescent="0.25">
      <c r="A246" s="629"/>
      <c r="B246" s="630"/>
      <c r="C246" s="357" t="s">
        <v>165</v>
      </c>
      <c r="D246" s="377" t="s">
        <v>238</v>
      </c>
      <c r="E246" s="357" t="s">
        <v>25</v>
      </c>
      <c r="F246" s="15" t="s">
        <v>442</v>
      </c>
      <c r="G246" s="367">
        <v>90</v>
      </c>
      <c r="H246" s="367">
        <v>100</v>
      </c>
      <c r="I246" s="51"/>
      <c r="J246" s="357" t="str">
        <f>C246</f>
        <v>5.1.</v>
      </c>
      <c r="K246" s="361" t="s">
        <v>360</v>
      </c>
      <c r="L246" s="357" t="s">
        <v>355</v>
      </c>
      <c r="M246" s="237">
        <v>22421</v>
      </c>
      <c r="N246" s="237">
        <v>21731</v>
      </c>
      <c r="O246" s="367">
        <f t="shared" si="25"/>
        <v>96.922527987154893</v>
      </c>
      <c r="P246" s="84"/>
      <c r="Q246" s="353"/>
      <c r="R246" s="354"/>
      <c r="S246" s="647"/>
      <c r="T246" s="297"/>
    </row>
    <row r="247" spans="1:21" ht="49.5" x14ac:dyDescent="0.25">
      <c r="A247" s="629"/>
      <c r="B247" s="630"/>
      <c r="C247" s="357" t="s">
        <v>166</v>
      </c>
      <c r="D247" s="377" t="s">
        <v>34</v>
      </c>
      <c r="E247" s="357" t="s">
        <v>25</v>
      </c>
      <c r="F247" s="15" t="s">
        <v>354</v>
      </c>
      <c r="G247" s="238">
        <v>0</v>
      </c>
      <c r="H247" s="367">
        <v>100</v>
      </c>
      <c r="I247" s="51"/>
      <c r="J247" s="357"/>
      <c r="K247" s="361"/>
      <c r="L247" s="357"/>
      <c r="M247" s="357"/>
      <c r="N247" s="357"/>
      <c r="O247" s="367"/>
      <c r="P247" s="84"/>
      <c r="Q247" s="353"/>
      <c r="R247" s="354"/>
      <c r="S247" s="647"/>
      <c r="T247" s="297"/>
    </row>
    <row r="248" spans="1:21" s="16" customFormat="1" ht="33" x14ac:dyDescent="0.25">
      <c r="A248" s="629"/>
      <c r="B248" s="630"/>
      <c r="C248" s="171"/>
      <c r="D248" s="21" t="s">
        <v>6</v>
      </c>
      <c r="E248" s="30"/>
      <c r="F248" s="100"/>
      <c r="G248" s="230"/>
      <c r="H248" s="222"/>
      <c r="I248" s="7">
        <f>(H246+H247)/2</f>
        <v>100</v>
      </c>
      <c r="J248" s="30"/>
      <c r="K248" s="21" t="s">
        <v>6</v>
      </c>
      <c r="L248" s="30"/>
      <c r="M248" s="101"/>
      <c r="N248" s="101"/>
      <c r="O248" s="222"/>
      <c r="P248" s="7">
        <f>O246</f>
        <v>96.922527987154893</v>
      </c>
      <c r="Q248" s="7">
        <f>(I248+P248)/2</f>
        <v>98.461263993577447</v>
      </c>
      <c r="R248" s="355" t="s">
        <v>361</v>
      </c>
      <c r="S248" s="639"/>
      <c r="T248" s="297"/>
      <c r="U248" s="180"/>
    </row>
    <row r="249" spans="1:21" s="13" customFormat="1" ht="96" customHeight="1" x14ac:dyDescent="0.25">
      <c r="A249" s="629"/>
      <c r="B249" s="630"/>
      <c r="C249" s="354" t="s">
        <v>170</v>
      </c>
      <c r="D249" s="23" t="s">
        <v>245</v>
      </c>
      <c r="E249" s="357"/>
      <c r="F249" s="15"/>
      <c r="G249" s="218"/>
      <c r="H249" s="216"/>
      <c r="I249" s="49"/>
      <c r="J249" s="354" t="str">
        <f>C249</f>
        <v>VI</v>
      </c>
      <c r="K249" s="22" t="str">
        <f>D249</f>
        <v>Реализация дополнительных общеобразовательных предпрофессиональных программ в области искусств - живопись</v>
      </c>
      <c r="L249" s="357"/>
      <c r="M249" s="38"/>
      <c r="N249" s="38"/>
      <c r="O249" s="216"/>
      <c r="P249" s="82"/>
      <c r="Q249" s="353"/>
      <c r="R249" s="354"/>
      <c r="S249" s="647"/>
      <c r="T249" s="297"/>
      <c r="U249" s="270"/>
    </row>
    <row r="250" spans="1:21" ht="123.75" customHeight="1" x14ac:dyDescent="0.25">
      <c r="A250" s="629"/>
      <c r="B250" s="630"/>
      <c r="C250" s="357" t="s">
        <v>171</v>
      </c>
      <c r="D250" s="377" t="s">
        <v>238</v>
      </c>
      <c r="E250" s="357" t="s">
        <v>25</v>
      </c>
      <c r="F250" s="358" t="s">
        <v>442</v>
      </c>
      <c r="G250" s="367">
        <v>90</v>
      </c>
      <c r="H250" s="367">
        <v>100</v>
      </c>
      <c r="I250" s="51"/>
      <c r="J250" s="357" t="str">
        <f>C250</f>
        <v>6.1.</v>
      </c>
      <c r="K250" s="361" t="s">
        <v>360</v>
      </c>
      <c r="L250" s="357" t="s">
        <v>355</v>
      </c>
      <c r="M250" s="237">
        <v>78502</v>
      </c>
      <c r="N250" s="237">
        <v>80316</v>
      </c>
      <c r="O250" s="367">
        <f t="shared" si="25"/>
        <v>102.31076915237828</v>
      </c>
      <c r="P250" s="84"/>
      <c r="Q250" s="353"/>
      <c r="R250" s="354"/>
      <c r="S250" s="647"/>
      <c r="T250" s="297"/>
    </row>
    <row r="251" spans="1:21" ht="49.5" x14ac:dyDescent="0.25">
      <c r="A251" s="629"/>
      <c r="B251" s="630"/>
      <c r="C251" s="357" t="s">
        <v>172</v>
      </c>
      <c r="D251" s="377" t="s">
        <v>34</v>
      </c>
      <c r="E251" s="357" t="s">
        <v>25</v>
      </c>
      <c r="F251" s="358">
        <v>0.5</v>
      </c>
      <c r="G251" s="238">
        <v>0</v>
      </c>
      <c r="H251" s="367">
        <v>100</v>
      </c>
      <c r="I251" s="51"/>
      <c r="J251" s="357"/>
      <c r="K251" s="361"/>
      <c r="L251" s="357"/>
      <c r="M251" s="357"/>
      <c r="N251" s="357"/>
      <c r="O251" s="367"/>
      <c r="P251" s="84"/>
      <c r="Q251" s="353"/>
      <c r="R251" s="354"/>
      <c r="S251" s="647"/>
      <c r="T251" s="297"/>
    </row>
    <row r="252" spans="1:21" s="16" customFormat="1" ht="33" x14ac:dyDescent="0.25">
      <c r="A252" s="629"/>
      <c r="B252" s="630"/>
      <c r="C252" s="171"/>
      <c r="D252" s="21" t="s">
        <v>6</v>
      </c>
      <c r="E252" s="30"/>
      <c r="F252" s="100"/>
      <c r="G252" s="230"/>
      <c r="H252" s="222"/>
      <c r="I252" s="7">
        <f>(H250+H251)/2</f>
        <v>100</v>
      </c>
      <c r="J252" s="30"/>
      <c r="K252" s="21" t="s">
        <v>6</v>
      </c>
      <c r="L252" s="30"/>
      <c r="M252" s="101"/>
      <c r="N252" s="101"/>
      <c r="O252" s="222"/>
      <c r="P252" s="7">
        <f>O250</f>
        <v>102.31076915237828</v>
      </c>
      <c r="Q252" s="7">
        <f>(I252+P252)/2</f>
        <v>101.15538457618914</v>
      </c>
      <c r="R252" s="355" t="s">
        <v>31</v>
      </c>
      <c r="S252" s="639"/>
      <c r="T252" s="297"/>
      <c r="U252" s="180"/>
    </row>
    <row r="253" spans="1:21" s="13" customFormat="1" ht="96" customHeight="1" x14ac:dyDescent="0.25">
      <c r="A253" s="629"/>
      <c r="B253" s="630"/>
      <c r="C253" s="354" t="s">
        <v>207</v>
      </c>
      <c r="D253" s="23" t="s">
        <v>246</v>
      </c>
      <c r="E253" s="357"/>
      <c r="F253" s="15"/>
      <c r="G253" s="218"/>
      <c r="H253" s="216"/>
      <c r="I253" s="49"/>
      <c r="J253" s="354" t="str">
        <f>C253</f>
        <v>VII</v>
      </c>
      <c r="K253" s="22" t="str">
        <f>D253</f>
        <v>Реализация дополнительных общеобразовательных предпрофессиональных программ в области искусств - дизайн</v>
      </c>
      <c r="L253" s="357"/>
      <c r="M253" s="38"/>
      <c r="N253" s="38"/>
      <c r="O253" s="216"/>
      <c r="P253" s="82"/>
      <c r="Q253" s="353"/>
      <c r="R253" s="354"/>
      <c r="S253" s="647"/>
      <c r="T253" s="297"/>
      <c r="U253" s="270"/>
    </row>
    <row r="254" spans="1:21" ht="122.25" customHeight="1" x14ac:dyDescent="0.25">
      <c r="A254" s="629"/>
      <c r="B254" s="630"/>
      <c r="C254" s="357" t="s">
        <v>208</v>
      </c>
      <c r="D254" s="377" t="s">
        <v>238</v>
      </c>
      <c r="E254" s="357" t="s">
        <v>25</v>
      </c>
      <c r="F254" s="15" t="s">
        <v>442</v>
      </c>
      <c r="G254" s="367">
        <v>90</v>
      </c>
      <c r="H254" s="367">
        <v>100</v>
      </c>
      <c r="I254" s="51"/>
      <c r="J254" s="357" t="str">
        <f>C254</f>
        <v>7.1.</v>
      </c>
      <c r="K254" s="361" t="s">
        <v>360</v>
      </c>
      <c r="L254" s="357" t="s">
        <v>355</v>
      </c>
      <c r="M254" s="237">
        <v>13975</v>
      </c>
      <c r="N254" s="237">
        <v>13930</v>
      </c>
      <c r="O254" s="367">
        <f t="shared" si="25"/>
        <v>99.677996422182474</v>
      </c>
      <c r="P254" s="84"/>
      <c r="Q254" s="353"/>
      <c r="R254" s="354"/>
      <c r="S254" s="647"/>
      <c r="T254" s="297"/>
    </row>
    <row r="255" spans="1:21" ht="49.5" x14ac:dyDescent="0.25">
      <c r="A255" s="629"/>
      <c r="B255" s="630"/>
      <c r="C255" s="357" t="s">
        <v>212</v>
      </c>
      <c r="D255" s="377" t="s">
        <v>34</v>
      </c>
      <c r="E255" s="357" t="s">
        <v>25</v>
      </c>
      <c r="F255" s="15" t="s">
        <v>354</v>
      </c>
      <c r="G255" s="366">
        <v>0</v>
      </c>
      <c r="H255" s="366">
        <v>100</v>
      </c>
      <c r="I255" s="51"/>
      <c r="J255" s="357"/>
      <c r="K255" s="361"/>
      <c r="L255" s="357"/>
      <c r="M255" s="357"/>
      <c r="N255" s="357"/>
      <c r="O255" s="367"/>
      <c r="P255" s="84"/>
      <c r="Q255" s="353"/>
      <c r="R255" s="354"/>
      <c r="S255" s="647"/>
      <c r="T255" s="297"/>
    </row>
    <row r="256" spans="1:21" s="16" customFormat="1" ht="33" x14ac:dyDescent="0.25">
      <c r="A256" s="629"/>
      <c r="B256" s="630"/>
      <c r="C256" s="171"/>
      <c r="D256" s="21" t="s">
        <v>6</v>
      </c>
      <c r="E256" s="30"/>
      <c r="F256" s="100"/>
      <c r="G256" s="230"/>
      <c r="H256" s="222"/>
      <c r="I256" s="7">
        <f>(H254+H255)/2</f>
        <v>100</v>
      </c>
      <c r="J256" s="30"/>
      <c r="K256" s="21" t="s">
        <v>6</v>
      </c>
      <c r="L256" s="30"/>
      <c r="M256" s="101"/>
      <c r="N256" s="101"/>
      <c r="O256" s="222"/>
      <c r="P256" s="7">
        <f>O254</f>
        <v>99.677996422182474</v>
      </c>
      <c r="Q256" s="7">
        <f>(I256+P256)/2</f>
        <v>99.838998211091237</v>
      </c>
      <c r="R256" s="355" t="s">
        <v>361</v>
      </c>
      <c r="S256" s="639"/>
      <c r="T256" s="297"/>
      <c r="U256" s="180"/>
    </row>
    <row r="257" spans="1:21" s="13" customFormat="1" ht="98.25" customHeight="1" x14ac:dyDescent="0.25">
      <c r="A257" s="629"/>
      <c r="B257" s="630"/>
      <c r="C257" s="354" t="s">
        <v>209</v>
      </c>
      <c r="D257" s="23" t="s">
        <v>356</v>
      </c>
      <c r="E257" s="357"/>
      <c r="F257" s="15"/>
      <c r="G257" s="218"/>
      <c r="H257" s="216"/>
      <c r="I257" s="49"/>
      <c r="J257" s="354" t="str">
        <f>C257</f>
        <v>VIII</v>
      </c>
      <c r="K257" s="22" t="str">
        <f>D257</f>
        <v>Реализация дополнительных общеобразовательных предпрофессиональных программ в области искусств - искусство театра</v>
      </c>
      <c r="L257" s="357"/>
      <c r="M257" s="38"/>
      <c r="N257" s="38"/>
      <c r="O257" s="216"/>
      <c r="P257" s="82"/>
      <c r="Q257" s="353"/>
      <c r="R257" s="354"/>
      <c r="S257" s="647"/>
      <c r="T257" s="297"/>
      <c r="U257" s="270"/>
    </row>
    <row r="258" spans="1:21" ht="118.5" customHeight="1" x14ac:dyDescent="0.25">
      <c r="A258" s="629"/>
      <c r="B258" s="630"/>
      <c r="C258" s="357" t="s">
        <v>210</v>
      </c>
      <c r="D258" s="377" t="s">
        <v>238</v>
      </c>
      <c r="E258" s="357" t="s">
        <v>25</v>
      </c>
      <c r="F258" s="15" t="s">
        <v>442</v>
      </c>
      <c r="G258" s="367">
        <v>90</v>
      </c>
      <c r="H258" s="367">
        <v>100</v>
      </c>
      <c r="I258" s="51"/>
      <c r="J258" s="357" t="str">
        <f>C258</f>
        <v>8.1.</v>
      </c>
      <c r="K258" s="547" t="s">
        <v>360</v>
      </c>
      <c r="L258" s="357" t="s">
        <v>355</v>
      </c>
      <c r="M258" s="237">
        <v>22749</v>
      </c>
      <c r="N258" s="237">
        <v>22651</v>
      </c>
      <c r="O258" s="367">
        <f t="shared" si="25"/>
        <v>99.569211833487188</v>
      </c>
      <c r="P258" s="84"/>
      <c r="Q258" s="353"/>
      <c r="R258" s="354"/>
      <c r="S258" s="647"/>
      <c r="T258" s="297"/>
    </row>
    <row r="259" spans="1:21" ht="62.25" customHeight="1" x14ac:dyDescent="0.25">
      <c r="A259" s="629"/>
      <c r="B259" s="630"/>
      <c r="C259" s="357" t="s">
        <v>249</v>
      </c>
      <c r="D259" s="377" t="s">
        <v>34</v>
      </c>
      <c r="E259" s="357" t="s">
        <v>25</v>
      </c>
      <c r="F259" s="15" t="s">
        <v>354</v>
      </c>
      <c r="G259" s="366">
        <v>0</v>
      </c>
      <c r="H259" s="366">
        <v>100</v>
      </c>
      <c r="I259" s="51"/>
      <c r="J259" s="357" t="str">
        <f>C259</f>
        <v>8.2.</v>
      </c>
      <c r="K259" s="361"/>
      <c r="L259" s="357"/>
      <c r="M259" s="357"/>
      <c r="N259" s="357"/>
      <c r="O259" s="367"/>
      <c r="P259" s="84"/>
      <c r="Q259" s="353"/>
      <c r="R259" s="354"/>
      <c r="S259" s="647"/>
      <c r="T259" s="297"/>
    </row>
    <row r="260" spans="1:21" s="16" customFormat="1" ht="33" x14ac:dyDescent="0.25">
      <c r="A260" s="629"/>
      <c r="B260" s="630"/>
      <c r="C260" s="171"/>
      <c r="D260" s="21" t="s">
        <v>6</v>
      </c>
      <c r="E260" s="30"/>
      <c r="F260" s="100"/>
      <c r="G260" s="230"/>
      <c r="H260" s="222"/>
      <c r="I260" s="7">
        <f>(H258+H259)/2</f>
        <v>100</v>
      </c>
      <c r="J260" s="30"/>
      <c r="K260" s="21" t="s">
        <v>6</v>
      </c>
      <c r="L260" s="30"/>
      <c r="M260" s="101"/>
      <c r="N260" s="101"/>
      <c r="O260" s="222"/>
      <c r="P260" s="7">
        <f>O258</f>
        <v>99.569211833487188</v>
      </c>
      <c r="Q260" s="7">
        <f>(I260+P260)/2</f>
        <v>99.784605916743601</v>
      </c>
      <c r="R260" s="355" t="s">
        <v>361</v>
      </c>
      <c r="S260" s="639"/>
      <c r="T260" s="297"/>
      <c r="U260" s="180"/>
    </row>
    <row r="261" spans="1:21" s="155" customFormat="1" ht="66" x14ac:dyDescent="0.25">
      <c r="A261" s="629"/>
      <c r="B261" s="630"/>
      <c r="C261" s="354" t="s">
        <v>357</v>
      </c>
      <c r="D261" s="23" t="s">
        <v>441</v>
      </c>
      <c r="E261" s="357"/>
      <c r="F261" s="179"/>
      <c r="G261" s="367"/>
      <c r="H261" s="216"/>
      <c r="I261" s="353"/>
      <c r="J261" s="354" t="str">
        <f t="shared" ref="J261" si="26">C261</f>
        <v>IX</v>
      </c>
      <c r="K261" s="22" t="str">
        <f>D261</f>
        <v>Реализация дополнительных общеобразовательных предпрофессиональных программ - хоровое пение</v>
      </c>
      <c r="L261" s="357"/>
      <c r="M261" s="38"/>
      <c r="N261" s="38"/>
      <c r="O261" s="216"/>
      <c r="P261" s="353"/>
      <c r="Q261" s="353"/>
      <c r="R261" s="378"/>
      <c r="S261" s="647"/>
      <c r="T261" s="297"/>
      <c r="U261" s="180"/>
    </row>
    <row r="262" spans="1:21" s="155" customFormat="1" ht="123.75" customHeight="1" x14ac:dyDescent="0.25">
      <c r="A262" s="629"/>
      <c r="B262" s="630"/>
      <c r="C262" s="357" t="s">
        <v>358</v>
      </c>
      <c r="D262" s="377" t="s">
        <v>238</v>
      </c>
      <c r="E262" s="357" t="s">
        <v>25</v>
      </c>
      <c r="F262" s="15" t="s">
        <v>442</v>
      </c>
      <c r="G262" s="367">
        <v>90</v>
      </c>
      <c r="H262" s="367">
        <v>100</v>
      </c>
      <c r="I262" s="51"/>
      <c r="J262" s="357" t="str">
        <f>C262</f>
        <v>9.1.</v>
      </c>
      <c r="K262" s="361" t="s">
        <v>360</v>
      </c>
      <c r="L262" s="357" t="s">
        <v>355</v>
      </c>
      <c r="M262" s="237">
        <v>9476</v>
      </c>
      <c r="N262" s="237">
        <v>9245</v>
      </c>
      <c r="O262" s="367">
        <f t="shared" si="25"/>
        <v>97.562262558041368</v>
      </c>
      <c r="P262" s="353"/>
      <c r="Q262" s="353"/>
      <c r="R262" s="378"/>
      <c r="S262" s="647"/>
      <c r="T262" s="297"/>
      <c r="U262" s="180"/>
    </row>
    <row r="263" spans="1:21" s="155" customFormat="1" ht="49.5" x14ac:dyDescent="0.25">
      <c r="A263" s="629"/>
      <c r="B263" s="630"/>
      <c r="C263" s="357" t="s">
        <v>359</v>
      </c>
      <c r="D263" s="377" t="s">
        <v>34</v>
      </c>
      <c r="E263" s="357" t="s">
        <v>25</v>
      </c>
      <c r="F263" s="15" t="s">
        <v>354</v>
      </c>
      <c r="G263" s="366">
        <v>0</v>
      </c>
      <c r="H263" s="366">
        <v>100</v>
      </c>
      <c r="I263" s="51"/>
      <c r="J263" s="357"/>
      <c r="K263" s="361"/>
      <c r="L263" s="357"/>
      <c r="M263" s="357"/>
      <c r="N263" s="357"/>
      <c r="O263" s="367"/>
      <c r="P263" s="353"/>
      <c r="Q263" s="353"/>
      <c r="R263" s="378"/>
      <c r="S263" s="647"/>
      <c r="T263" s="297"/>
      <c r="U263" s="180"/>
    </row>
    <row r="264" spans="1:21" s="16" customFormat="1" ht="33" x14ac:dyDescent="0.25">
      <c r="A264" s="629"/>
      <c r="B264" s="630"/>
      <c r="C264" s="171"/>
      <c r="D264" s="21" t="s">
        <v>6</v>
      </c>
      <c r="E264" s="30"/>
      <c r="F264" s="100"/>
      <c r="G264" s="230"/>
      <c r="H264" s="222"/>
      <c r="I264" s="7">
        <f>(H262+H263)/2</f>
        <v>100</v>
      </c>
      <c r="J264" s="30"/>
      <c r="K264" s="21" t="s">
        <v>6</v>
      </c>
      <c r="L264" s="30"/>
      <c r="M264" s="101"/>
      <c r="N264" s="101"/>
      <c r="O264" s="222"/>
      <c r="P264" s="7">
        <f>O262</f>
        <v>97.562262558041368</v>
      </c>
      <c r="Q264" s="7">
        <f>(I264+P264)/2</f>
        <v>98.781131279020684</v>
      </c>
      <c r="R264" s="355" t="s">
        <v>361</v>
      </c>
      <c r="S264" s="639"/>
      <c r="T264" s="297"/>
      <c r="U264" s="180"/>
    </row>
    <row r="265" spans="1:21" ht="96" customHeight="1" x14ac:dyDescent="0.25">
      <c r="A265" s="629"/>
      <c r="B265" s="630"/>
      <c r="C265" s="354" t="s">
        <v>396</v>
      </c>
      <c r="D265" s="23" t="s">
        <v>440</v>
      </c>
      <c r="E265" s="357"/>
      <c r="F265" s="15"/>
      <c r="G265" s="218"/>
      <c r="H265" s="216"/>
      <c r="I265" s="49"/>
      <c r="J265" s="354" t="str">
        <f t="shared" ref="J265" si="27">C265</f>
        <v>X</v>
      </c>
      <c r="K265" s="22" t="str">
        <f>D265</f>
        <v>Реализация дополнительных общеобразовательных общеразвивающих программ</v>
      </c>
      <c r="L265" s="357"/>
      <c r="M265" s="38"/>
      <c r="N265" s="38"/>
      <c r="O265" s="216"/>
      <c r="P265" s="82"/>
      <c r="Q265" s="353"/>
      <c r="R265" s="354"/>
      <c r="S265" s="647"/>
      <c r="T265" s="297"/>
    </row>
    <row r="266" spans="1:21" ht="100.5" customHeight="1" x14ac:dyDescent="0.25">
      <c r="A266" s="629"/>
      <c r="B266" s="630"/>
      <c r="C266" s="357" t="s">
        <v>397</v>
      </c>
      <c r="D266" s="377" t="s">
        <v>243</v>
      </c>
      <c r="E266" s="357" t="s">
        <v>25</v>
      </c>
      <c r="F266" s="15" t="s">
        <v>584</v>
      </c>
      <c r="G266" s="367">
        <v>10</v>
      </c>
      <c r="H266" s="367">
        <v>100</v>
      </c>
      <c r="I266" s="51"/>
      <c r="J266" s="357" t="str">
        <f>C266</f>
        <v>10.1.</v>
      </c>
      <c r="K266" s="361" t="s">
        <v>360</v>
      </c>
      <c r="L266" s="357" t="s">
        <v>204</v>
      </c>
      <c r="M266" s="237">
        <v>16074</v>
      </c>
      <c r="N266" s="237">
        <v>14852</v>
      </c>
      <c r="O266" s="367">
        <f t="shared" si="25"/>
        <v>92.397660818713447</v>
      </c>
      <c r="P266" s="84"/>
      <c r="Q266" s="353"/>
      <c r="R266" s="354"/>
      <c r="S266" s="647"/>
      <c r="T266" s="297"/>
    </row>
    <row r="267" spans="1:21" ht="62.25" customHeight="1" x14ac:dyDescent="0.25">
      <c r="A267" s="629"/>
      <c r="B267" s="630"/>
      <c r="C267" s="357" t="s">
        <v>429</v>
      </c>
      <c r="D267" s="377" t="s">
        <v>34</v>
      </c>
      <c r="E267" s="357" t="s">
        <v>25</v>
      </c>
      <c r="F267" s="15" t="s">
        <v>354</v>
      </c>
      <c r="G267" s="366">
        <v>0</v>
      </c>
      <c r="H267" s="366">
        <v>100</v>
      </c>
      <c r="I267" s="51"/>
      <c r="J267" s="357"/>
      <c r="K267" s="361"/>
      <c r="L267" s="357"/>
      <c r="M267" s="357"/>
      <c r="N267" s="357"/>
      <c r="O267" s="367"/>
      <c r="P267" s="84"/>
      <c r="Q267" s="353"/>
      <c r="R267" s="354"/>
      <c r="S267" s="647"/>
      <c r="T267" s="297"/>
    </row>
    <row r="268" spans="1:21" ht="62.25" customHeight="1" x14ac:dyDescent="0.25">
      <c r="A268" s="629"/>
      <c r="B268" s="630"/>
      <c r="C268" s="357" t="s">
        <v>444</v>
      </c>
      <c r="D268" s="377" t="s">
        <v>485</v>
      </c>
      <c r="E268" s="357" t="s">
        <v>38</v>
      </c>
      <c r="F268" s="85">
        <v>72</v>
      </c>
      <c r="G268" s="218">
        <v>72</v>
      </c>
      <c r="H268" s="367">
        <f>IF(G268/F268*100&gt;100,100,G268/F268*100)</f>
        <v>100</v>
      </c>
      <c r="I268" s="51"/>
      <c r="J268" s="357"/>
      <c r="K268" s="361"/>
      <c r="L268" s="357"/>
      <c r="M268" s="357"/>
      <c r="N268" s="357"/>
      <c r="O268" s="367"/>
      <c r="P268" s="84"/>
      <c r="Q268" s="353"/>
      <c r="R268" s="354"/>
      <c r="S268" s="647"/>
      <c r="T268" s="297"/>
    </row>
    <row r="269" spans="1:21" ht="45.75" customHeight="1" x14ac:dyDescent="0.25">
      <c r="A269" s="629"/>
      <c r="B269" s="630"/>
      <c r="C269" s="30"/>
      <c r="D269" s="21" t="s">
        <v>6</v>
      </c>
      <c r="E269" s="30"/>
      <c r="F269" s="7"/>
      <c r="G269" s="222"/>
      <c r="H269" s="222"/>
      <c r="I269" s="178">
        <f>(H266+H267+H268)/3</f>
        <v>100</v>
      </c>
      <c r="J269" s="30"/>
      <c r="K269" s="21" t="s">
        <v>6</v>
      </c>
      <c r="L269" s="30"/>
      <c r="M269" s="172"/>
      <c r="N269" s="172"/>
      <c r="O269" s="222"/>
      <c r="P269" s="7">
        <f>O266</f>
        <v>92.397660818713447</v>
      </c>
      <c r="Q269" s="7">
        <f>(I269+P269)/2</f>
        <v>96.198830409356731</v>
      </c>
      <c r="R269" s="355" t="s">
        <v>361</v>
      </c>
      <c r="S269" s="639"/>
      <c r="T269" s="297"/>
    </row>
    <row r="270" spans="1:21" s="13" customFormat="1" ht="103.5" customHeight="1" x14ac:dyDescent="0.25">
      <c r="A270" s="629" t="s">
        <v>83</v>
      </c>
      <c r="B270" s="630" t="s">
        <v>251</v>
      </c>
      <c r="C270" s="369" t="s">
        <v>12</v>
      </c>
      <c r="D270" s="23" t="s">
        <v>439</v>
      </c>
      <c r="E270" s="357"/>
      <c r="F270" s="218"/>
      <c r="G270" s="218"/>
      <c r="H270" s="216"/>
      <c r="I270" s="49"/>
      <c r="J270" s="354" t="str">
        <f>C270</f>
        <v>I</v>
      </c>
      <c r="K270" s="22" t="str">
        <f>D270</f>
        <v>Реализация дополнительных общеобразовательных предпрофессиональных программ в области искусств - хореографическое творчество</v>
      </c>
      <c r="L270" s="357"/>
      <c r="M270" s="38"/>
      <c r="N270" s="38"/>
      <c r="O270" s="216"/>
      <c r="P270" s="82"/>
      <c r="Q270" s="353"/>
      <c r="R270" s="354"/>
      <c r="S270" s="648" t="s">
        <v>279</v>
      </c>
      <c r="T270" s="297"/>
      <c r="U270" s="270"/>
    </row>
    <row r="271" spans="1:21" ht="119.25" customHeight="1" x14ac:dyDescent="0.25">
      <c r="A271" s="629"/>
      <c r="B271" s="630"/>
      <c r="C271" s="371" t="s">
        <v>7</v>
      </c>
      <c r="D271" s="377" t="s">
        <v>238</v>
      </c>
      <c r="E271" s="357" t="s">
        <v>25</v>
      </c>
      <c r="F271" s="358" t="s">
        <v>442</v>
      </c>
      <c r="G271" s="367">
        <v>31</v>
      </c>
      <c r="H271" s="367">
        <v>100</v>
      </c>
      <c r="I271" s="51"/>
      <c r="J271" s="357" t="str">
        <f>C271</f>
        <v>1.1.</v>
      </c>
      <c r="K271" s="361" t="s">
        <v>89</v>
      </c>
      <c r="L271" s="357" t="s">
        <v>355</v>
      </c>
      <c r="M271" s="365">
        <v>28649</v>
      </c>
      <c r="N271" s="365">
        <v>28649</v>
      </c>
      <c r="O271" s="367">
        <f t="shared" si="25"/>
        <v>100</v>
      </c>
      <c r="P271" s="84"/>
      <c r="Q271" s="353"/>
      <c r="R271" s="354"/>
      <c r="S271" s="648"/>
      <c r="T271" s="297"/>
    </row>
    <row r="272" spans="1:21" ht="64.5" customHeight="1" x14ac:dyDescent="0.25">
      <c r="A272" s="629"/>
      <c r="B272" s="630"/>
      <c r="C272" s="371" t="s">
        <v>8</v>
      </c>
      <c r="D272" s="377" t="s">
        <v>34</v>
      </c>
      <c r="E272" s="357" t="s">
        <v>25</v>
      </c>
      <c r="F272" s="358" t="s">
        <v>443</v>
      </c>
      <c r="G272" s="366">
        <v>0</v>
      </c>
      <c r="H272" s="366">
        <v>100</v>
      </c>
      <c r="I272" s="51"/>
      <c r="J272" s="357"/>
      <c r="K272" s="361"/>
      <c r="L272" s="357"/>
      <c r="M272" s="357"/>
      <c r="N272" s="357"/>
      <c r="O272" s="367"/>
      <c r="P272" s="84"/>
      <c r="Q272" s="353"/>
      <c r="R272" s="354"/>
      <c r="S272" s="648"/>
      <c r="T272" s="297"/>
    </row>
    <row r="273" spans="1:21" s="16" customFormat="1" ht="33" customHeight="1" x14ac:dyDescent="0.25">
      <c r="A273" s="629"/>
      <c r="B273" s="630"/>
      <c r="C273" s="171"/>
      <c r="D273" s="21" t="s">
        <v>6</v>
      </c>
      <c r="E273" s="30"/>
      <c r="F273" s="229"/>
      <c r="G273" s="230"/>
      <c r="H273" s="222"/>
      <c r="I273" s="7">
        <f>(H271+H272)/2</f>
        <v>100</v>
      </c>
      <c r="J273" s="30"/>
      <c r="K273" s="21" t="s">
        <v>6</v>
      </c>
      <c r="L273" s="30"/>
      <c r="M273" s="101"/>
      <c r="N273" s="101"/>
      <c r="O273" s="222"/>
      <c r="P273" s="7">
        <f>O271</f>
        <v>100</v>
      </c>
      <c r="Q273" s="7">
        <f>(I273+P273)/2</f>
        <v>100</v>
      </c>
      <c r="R273" s="355" t="s">
        <v>31</v>
      </c>
      <c r="S273" s="648"/>
      <c r="T273" s="297"/>
      <c r="U273" s="180"/>
    </row>
    <row r="274" spans="1:21" s="13" customFormat="1" ht="90" customHeight="1" x14ac:dyDescent="0.25">
      <c r="A274" s="629"/>
      <c r="B274" s="630"/>
      <c r="C274" s="369" t="s">
        <v>13</v>
      </c>
      <c r="D274" s="23" t="s">
        <v>237</v>
      </c>
      <c r="E274" s="357"/>
      <c r="F274" s="15"/>
      <c r="G274" s="218"/>
      <c r="H274" s="216"/>
      <c r="I274" s="49"/>
      <c r="J274" s="354" t="str">
        <f>C274</f>
        <v>II</v>
      </c>
      <c r="K274" s="361" t="str">
        <f>D274</f>
        <v>Реализация дополнительных общеобразовательных предпрофессиональных программ в области искусств - фортепиано</v>
      </c>
      <c r="L274" s="357"/>
      <c r="M274" s="38"/>
      <c r="N274" s="38"/>
      <c r="O274" s="216"/>
      <c r="P274" s="82"/>
      <c r="Q274" s="353"/>
      <c r="R274" s="354"/>
      <c r="S274" s="648"/>
      <c r="T274" s="297"/>
      <c r="U274" s="270"/>
    </row>
    <row r="275" spans="1:21" ht="115.5" customHeight="1" x14ac:dyDescent="0.25">
      <c r="A275" s="629"/>
      <c r="B275" s="630"/>
      <c r="C275" s="371" t="s">
        <v>14</v>
      </c>
      <c r="D275" s="377" t="s">
        <v>238</v>
      </c>
      <c r="E275" s="357" t="s">
        <v>25</v>
      </c>
      <c r="F275" s="15" t="s">
        <v>442</v>
      </c>
      <c r="G275" s="367">
        <v>31</v>
      </c>
      <c r="H275" s="367">
        <v>100</v>
      </c>
      <c r="I275" s="51"/>
      <c r="J275" s="357" t="str">
        <f>C275</f>
        <v>2.1.</v>
      </c>
      <c r="K275" s="361" t="s">
        <v>360</v>
      </c>
      <c r="L275" s="357" t="s">
        <v>355</v>
      </c>
      <c r="M275" s="237">
        <v>1286</v>
      </c>
      <c r="N275" s="237">
        <v>1286</v>
      </c>
      <c r="O275" s="367">
        <f t="shared" ref="O275" si="28">IF(N275/M275*100&gt;110,110,N275/M275*100)</f>
        <v>100</v>
      </c>
      <c r="P275" s="84"/>
      <c r="Q275" s="353"/>
      <c r="R275" s="354"/>
      <c r="S275" s="648"/>
      <c r="T275" s="297"/>
    </row>
    <row r="276" spans="1:21" ht="49.5" customHeight="1" x14ac:dyDescent="0.25">
      <c r="A276" s="629"/>
      <c r="B276" s="630"/>
      <c r="C276" s="371" t="s">
        <v>15</v>
      </c>
      <c r="D276" s="377" t="s">
        <v>34</v>
      </c>
      <c r="E276" s="357" t="s">
        <v>25</v>
      </c>
      <c r="F276" s="15" t="s">
        <v>354</v>
      </c>
      <c r="G276" s="238">
        <v>0</v>
      </c>
      <c r="H276" s="367">
        <v>100</v>
      </c>
      <c r="I276" s="51"/>
      <c r="J276" s="357"/>
      <c r="K276" s="361"/>
      <c r="L276" s="357"/>
      <c r="M276" s="357"/>
      <c r="N276" s="357"/>
      <c r="O276" s="367"/>
      <c r="P276" s="84"/>
      <c r="Q276" s="353"/>
      <c r="R276" s="354"/>
      <c r="S276" s="648"/>
      <c r="T276" s="297"/>
    </row>
    <row r="277" spans="1:21" s="16" customFormat="1" ht="33" customHeight="1" x14ac:dyDescent="0.25">
      <c r="A277" s="629"/>
      <c r="B277" s="630"/>
      <c r="C277" s="171"/>
      <c r="D277" s="21" t="s">
        <v>6</v>
      </c>
      <c r="E277" s="30"/>
      <c r="F277" s="100"/>
      <c r="G277" s="230"/>
      <c r="H277" s="222"/>
      <c r="I277" s="7">
        <f>(H275+H276)/2</f>
        <v>100</v>
      </c>
      <c r="J277" s="30"/>
      <c r="K277" s="21" t="s">
        <v>6</v>
      </c>
      <c r="L277" s="30"/>
      <c r="M277" s="101"/>
      <c r="N277" s="101"/>
      <c r="O277" s="222"/>
      <c r="P277" s="7">
        <f>O275</f>
        <v>100</v>
      </c>
      <c r="Q277" s="7">
        <f>(I277+P277)/2</f>
        <v>100</v>
      </c>
      <c r="R277" s="355" t="s">
        <v>31</v>
      </c>
      <c r="S277" s="648"/>
      <c r="T277" s="297"/>
      <c r="U277" s="180"/>
    </row>
    <row r="278" spans="1:21" s="13" customFormat="1" ht="82.5" customHeight="1" x14ac:dyDescent="0.25">
      <c r="A278" s="629"/>
      <c r="B278" s="630"/>
      <c r="C278" s="354" t="s">
        <v>28</v>
      </c>
      <c r="D278" s="23" t="s">
        <v>241</v>
      </c>
      <c r="E278" s="357"/>
      <c r="F278" s="15"/>
      <c r="G278" s="218"/>
      <c r="H278" s="216"/>
      <c r="I278" s="49"/>
      <c r="J278" s="354" t="str">
        <f>C278</f>
        <v>III</v>
      </c>
      <c r="K278" s="22" t="str">
        <f>D278</f>
        <v>Реализация дополнительных общеобразовательных предпрофессиональных программ в области искусств - народные инструменты</v>
      </c>
      <c r="L278" s="357"/>
      <c r="M278" s="38"/>
      <c r="N278" s="38"/>
      <c r="O278" s="216"/>
      <c r="P278" s="82"/>
      <c r="Q278" s="353"/>
      <c r="R278" s="354"/>
      <c r="S278" s="648"/>
      <c r="T278" s="297"/>
      <c r="U278" s="270"/>
    </row>
    <row r="279" spans="1:21" ht="115.5" customHeight="1" x14ac:dyDescent="0.25">
      <c r="A279" s="629"/>
      <c r="B279" s="630"/>
      <c r="C279" s="357" t="s">
        <v>29</v>
      </c>
      <c r="D279" s="377" t="s">
        <v>238</v>
      </c>
      <c r="E279" s="357" t="s">
        <v>25</v>
      </c>
      <c r="F279" s="15" t="s">
        <v>442</v>
      </c>
      <c r="G279" s="367">
        <v>31</v>
      </c>
      <c r="H279" s="367">
        <v>100</v>
      </c>
      <c r="I279" s="51"/>
      <c r="J279" s="357" t="str">
        <f>C279</f>
        <v>3.1.</v>
      </c>
      <c r="K279" s="361" t="s">
        <v>360</v>
      </c>
      <c r="L279" s="357" t="s">
        <v>355</v>
      </c>
      <c r="M279" s="237">
        <v>2211</v>
      </c>
      <c r="N279" s="237">
        <v>2211</v>
      </c>
      <c r="O279" s="367">
        <f t="shared" ref="O279" si="29">IF(N279/M279*100&gt;110,110,N279/M279*100)</f>
        <v>100</v>
      </c>
      <c r="P279" s="84"/>
      <c r="Q279" s="353"/>
      <c r="R279" s="354"/>
      <c r="S279" s="648"/>
      <c r="T279" s="297"/>
    </row>
    <row r="280" spans="1:21" ht="49.5" customHeight="1" x14ac:dyDescent="0.25">
      <c r="A280" s="629"/>
      <c r="B280" s="630"/>
      <c r="C280" s="357" t="s">
        <v>30</v>
      </c>
      <c r="D280" s="377" t="s">
        <v>34</v>
      </c>
      <c r="E280" s="357" t="s">
        <v>25</v>
      </c>
      <c r="F280" s="15" t="s">
        <v>354</v>
      </c>
      <c r="G280" s="238">
        <v>0</v>
      </c>
      <c r="H280" s="367">
        <v>100</v>
      </c>
      <c r="I280" s="51"/>
      <c r="J280" s="357"/>
      <c r="K280" s="361"/>
      <c r="L280" s="357"/>
      <c r="M280" s="357"/>
      <c r="N280" s="357"/>
      <c r="O280" s="367"/>
      <c r="P280" s="84"/>
      <c r="Q280" s="353"/>
      <c r="R280" s="354"/>
      <c r="S280" s="648"/>
      <c r="T280" s="297"/>
    </row>
    <row r="281" spans="1:21" s="16" customFormat="1" ht="33" customHeight="1" x14ac:dyDescent="0.25">
      <c r="A281" s="629"/>
      <c r="B281" s="630"/>
      <c r="C281" s="171"/>
      <c r="D281" s="21" t="s">
        <v>6</v>
      </c>
      <c r="E281" s="30"/>
      <c r="F281" s="100"/>
      <c r="G281" s="230"/>
      <c r="H281" s="222"/>
      <c r="I281" s="7">
        <f>(H279+H280)/2</f>
        <v>100</v>
      </c>
      <c r="J281" s="30"/>
      <c r="K281" s="21" t="s">
        <v>6</v>
      </c>
      <c r="L281" s="30"/>
      <c r="M281" s="101"/>
      <c r="N281" s="101"/>
      <c r="O281" s="222"/>
      <c r="P281" s="7">
        <f>O279</f>
        <v>100</v>
      </c>
      <c r="Q281" s="7">
        <f>(I281+P281)/2</f>
        <v>100</v>
      </c>
      <c r="R281" s="355" t="s">
        <v>31</v>
      </c>
      <c r="S281" s="648"/>
      <c r="T281" s="297"/>
      <c r="U281" s="180"/>
    </row>
    <row r="282" spans="1:21" s="155" customFormat="1" ht="66" customHeight="1" x14ac:dyDescent="0.25">
      <c r="A282" s="629"/>
      <c r="B282" s="630"/>
      <c r="C282" s="354" t="s">
        <v>42</v>
      </c>
      <c r="D282" s="23" t="s">
        <v>441</v>
      </c>
      <c r="E282" s="357"/>
      <c r="F282" s="179"/>
      <c r="G282" s="367"/>
      <c r="H282" s="216"/>
      <c r="I282" s="353"/>
      <c r="J282" s="354" t="str">
        <f t="shared" ref="J282" si="30">C282</f>
        <v>IV</v>
      </c>
      <c r="K282" s="22" t="str">
        <f>D282</f>
        <v>Реализация дополнительных общеобразовательных предпрофессиональных программ - хоровое пение</v>
      </c>
      <c r="L282" s="357"/>
      <c r="M282" s="38"/>
      <c r="N282" s="38"/>
      <c r="O282" s="216"/>
      <c r="P282" s="353"/>
      <c r="Q282" s="353"/>
      <c r="R282" s="378"/>
      <c r="S282" s="648"/>
      <c r="T282" s="297"/>
      <c r="U282" s="180"/>
    </row>
    <row r="283" spans="1:21" s="155" customFormat="1" ht="115.5" customHeight="1" x14ac:dyDescent="0.25">
      <c r="A283" s="629"/>
      <c r="B283" s="630"/>
      <c r="C283" s="357" t="s">
        <v>43</v>
      </c>
      <c r="D283" s="377" t="s">
        <v>238</v>
      </c>
      <c r="E283" s="357" t="s">
        <v>25</v>
      </c>
      <c r="F283" s="15" t="s">
        <v>442</v>
      </c>
      <c r="G283" s="367">
        <v>31</v>
      </c>
      <c r="H283" s="367">
        <v>100</v>
      </c>
      <c r="I283" s="51"/>
      <c r="J283" s="357" t="str">
        <f>C283</f>
        <v>4.1.</v>
      </c>
      <c r="K283" s="361" t="s">
        <v>360</v>
      </c>
      <c r="L283" s="357" t="s">
        <v>355</v>
      </c>
      <c r="M283" s="237">
        <v>3473</v>
      </c>
      <c r="N283" s="237">
        <v>3473</v>
      </c>
      <c r="O283" s="367">
        <f t="shared" ref="O283" si="31">IF(N283/M283*100&gt;110,110,N283/M283*100)</f>
        <v>100</v>
      </c>
      <c r="P283" s="353"/>
      <c r="Q283" s="353"/>
      <c r="R283" s="378"/>
      <c r="S283" s="648"/>
      <c r="T283" s="297"/>
      <c r="U283" s="180"/>
    </row>
    <row r="284" spans="1:21" s="155" customFormat="1" ht="49.5" customHeight="1" x14ac:dyDescent="0.25">
      <c r="A284" s="629"/>
      <c r="B284" s="630"/>
      <c r="C284" s="357" t="s">
        <v>137</v>
      </c>
      <c r="D284" s="377" t="s">
        <v>34</v>
      </c>
      <c r="E284" s="357" t="s">
        <v>25</v>
      </c>
      <c r="F284" s="15" t="s">
        <v>354</v>
      </c>
      <c r="G284" s="366">
        <v>0</v>
      </c>
      <c r="H284" s="366">
        <v>100</v>
      </c>
      <c r="I284" s="51"/>
      <c r="J284" s="357"/>
      <c r="K284" s="361"/>
      <c r="L284" s="357"/>
      <c r="M284" s="357"/>
      <c r="N284" s="357"/>
      <c r="O284" s="367"/>
      <c r="P284" s="353"/>
      <c r="Q284" s="353"/>
      <c r="R284" s="378"/>
      <c r="S284" s="648"/>
      <c r="T284" s="297"/>
      <c r="U284" s="180"/>
    </row>
    <row r="285" spans="1:21" s="16" customFormat="1" ht="33" customHeight="1" x14ac:dyDescent="0.25">
      <c r="A285" s="629"/>
      <c r="B285" s="630"/>
      <c r="C285" s="171"/>
      <c r="D285" s="21" t="s">
        <v>6</v>
      </c>
      <c r="E285" s="30"/>
      <c r="F285" s="100"/>
      <c r="G285" s="230"/>
      <c r="H285" s="222"/>
      <c r="I285" s="7">
        <f>(H283+H284)/2</f>
        <v>100</v>
      </c>
      <c r="J285" s="30"/>
      <c r="K285" s="21" t="s">
        <v>6</v>
      </c>
      <c r="L285" s="30"/>
      <c r="M285" s="101"/>
      <c r="N285" s="101"/>
      <c r="O285" s="222"/>
      <c r="P285" s="7">
        <f>O283</f>
        <v>100</v>
      </c>
      <c r="Q285" s="7">
        <f>(I285+P285)/2</f>
        <v>100</v>
      </c>
      <c r="R285" s="355" t="s">
        <v>31</v>
      </c>
      <c r="S285" s="648"/>
      <c r="T285" s="297"/>
      <c r="U285" s="180"/>
    </row>
    <row r="286" spans="1:21" s="13" customFormat="1" ht="96" customHeight="1" x14ac:dyDescent="0.25">
      <c r="A286" s="629"/>
      <c r="B286" s="630"/>
      <c r="C286" s="354" t="s">
        <v>164</v>
      </c>
      <c r="D286" s="23" t="s">
        <v>245</v>
      </c>
      <c r="E286" s="357"/>
      <c r="F286" s="15"/>
      <c r="G286" s="218"/>
      <c r="H286" s="216"/>
      <c r="I286" s="49"/>
      <c r="J286" s="354" t="str">
        <f>C286</f>
        <v>V</v>
      </c>
      <c r="K286" s="22" t="str">
        <f>D286</f>
        <v>Реализация дополнительных общеобразовательных предпрофессиональных программ в области искусств - живопись</v>
      </c>
      <c r="L286" s="357"/>
      <c r="M286" s="38"/>
      <c r="N286" s="38"/>
      <c r="O286" s="216"/>
      <c r="P286" s="82"/>
      <c r="Q286" s="353"/>
      <c r="R286" s="354"/>
      <c r="S286" s="648"/>
      <c r="T286" s="297"/>
      <c r="U286" s="270"/>
    </row>
    <row r="287" spans="1:21" ht="115.5" customHeight="1" x14ac:dyDescent="0.25">
      <c r="A287" s="629"/>
      <c r="B287" s="630"/>
      <c r="C287" s="357" t="s">
        <v>165</v>
      </c>
      <c r="D287" s="377" t="s">
        <v>238</v>
      </c>
      <c r="E287" s="357" t="s">
        <v>25</v>
      </c>
      <c r="F287" s="358" t="s">
        <v>442</v>
      </c>
      <c r="G287" s="367">
        <v>31</v>
      </c>
      <c r="H287" s="367">
        <v>100</v>
      </c>
      <c r="I287" s="51"/>
      <c r="J287" s="357" t="str">
        <f>C287</f>
        <v>5.1.</v>
      </c>
      <c r="K287" s="361" t="s">
        <v>360</v>
      </c>
      <c r="L287" s="357" t="s">
        <v>355</v>
      </c>
      <c r="M287" s="237">
        <v>6081</v>
      </c>
      <c r="N287" s="237">
        <v>6081</v>
      </c>
      <c r="O287" s="367">
        <f t="shared" ref="O287" si="32">IF(N287/M287*100&gt;110,110,N287/M287*100)</f>
        <v>100</v>
      </c>
      <c r="P287" s="84"/>
      <c r="Q287" s="353"/>
      <c r="R287" s="354"/>
      <c r="S287" s="648"/>
      <c r="T287" s="297"/>
    </row>
    <row r="288" spans="1:21" ht="49.5" customHeight="1" x14ac:dyDescent="0.25">
      <c r="A288" s="629"/>
      <c r="B288" s="630"/>
      <c r="C288" s="357" t="s">
        <v>166</v>
      </c>
      <c r="D288" s="377" t="s">
        <v>34</v>
      </c>
      <c r="E288" s="357" t="s">
        <v>25</v>
      </c>
      <c r="F288" s="358">
        <v>0.5</v>
      </c>
      <c r="G288" s="238">
        <v>0</v>
      </c>
      <c r="H288" s="367">
        <v>100</v>
      </c>
      <c r="I288" s="51"/>
      <c r="J288" s="357"/>
      <c r="K288" s="361"/>
      <c r="L288" s="357"/>
      <c r="M288" s="357"/>
      <c r="N288" s="357"/>
      <c r="O288" s="367"/>
      <c r="P288" s="84"/>
      <c r="Q288" s="353"/>
      <c r="R288" s="354"/>
      <c r="S288" s="648"/>
      <c r="T288" s="297"/>
    </row>
    <row r="289" spans="1:21" s="16" customFormat="1" ht="38.25" customHeight="1" x14ac:dyDescent="0.25">
      <c r="A289" s="629"/>
      <c r="B289" s="630"/>
      <c r="C289" s="171"/>
      <c r="D289" s="21" t="s">
        <v>6</v>
      </c>
      <c r="E289" s="30"/>
      <c r="F289" s="100"/>
      <c r="G289" s="230"/>
      <c r="H289" s="222"/>
      <c r="I289" s="7">
        <f>(H287+H288)/2</f>
        <v>100</v>
      </c>
      <c r="J289" s="30"/>
      <c r="K289" s="21" t="s">
        <v>6</v>
      </c>
      <c r="L289" s="30"/>
      <c r="M289" s="101"/>
      <c r="N289" s="101"/>
      <c r="O289" s="222"/>
      <c r="P289" s="7">
        <f>O287</f>
        <v>100</v>
      </c>
      <c r="Q289" s="7">
        <f>(I289+P289)/2</f>
        <v>100</v>
      </c>
      <c r="R289" s="355" t="s">
        <v>31</v>
      </c>
      <c r="S289" s="648"/>
      <c r="T289" s="297"/>
      <c r="U289" s="180"/>
    </row>
    <row r="290" spans="1:21" s="13" customFormat="1" ht="81" customHeight="1" x14ac:dyDescent="0.25">
      <c r="A290" s="629"/>
      <c r="B290" s="630"/>
      <c r="C290" s="354" t="s">
        <v>170</v>
      </c>
      <c r="D290" s="23" t="s">
        <v>440</v>
      </c>
      <c r="E290" s="357"/>
      <c r="F290" s="218"/>
      <c r="G290" s="218"/>
      <c r="H290" s="216"/>
      <c r="I290" s="49"/>
      <c r="J290" s="354" t="str">
        <f>C290</f>
        <v>VI</v>
      </c>
      <c r="K290" s="22" t="str">
        <f>D290</f>
        <v>Реализация дополнительных общеобразовательных общеразвивающих программ</v>
      </c>
      <c r="L290" s="357"/>
      <c r="M290" s="38"/>
      <c r="N290" s="38"/>
      <c r="O290" s="216"/>
      <c r="P290" s="82"/>
      <c r="Q290" s="353"/>
      <c r="R290" s="354"/>
      <c r="S290" s="648"/>
      <c r="T290" s="297"/>
      <c r="U290" s="270"/>
    </row>
    <row r="291" spans="1:21" ht="120" customHeight="1" x14ac:dyDescent="0.25">
      <c r="A291" s="629"/>
      <c r="B291" s="630"/>
      <c r="C291" s="357" t="s">
        <v>171</v>
      </c>
      <c r="D291" s="377" t="s">
        <v>243</v>
      </c>
      <c r="E291" s="357" t="s">
        <v>25</v>
      </c>
      <c r="F291" s="358" t="s">
        <v>584</v>
      </c>
      <c r="G291" s="367">
        <v>31</v>
      </c>
      <c r="H291" s="367">
        <v>100</v>
      </c>
      <c r="I291" s="51"/>
      <c r="J291" s="357" t="str">
        <f>C291</f>
        <v>6.1.</v>
      </c>
      <c r="K291" s="547" t="s">
        <v>360</v>
      </c>
      <c r="L291" s="357" t="s">
        <v>204</v>
      </c>
      <c r="M291" s="365">
        <v>47058</v>
      </c>
      <c r="N291" s="365">
        <v>52132</v>
      </c>
      <c r="O291" s="367">
        <f t="shared" si="25"/>
        <v>110</v>
      </c>
      <c r="P291" s="84"/>
      <c r="Q291" s="353"/>
      <c r="R291" s="354"/>
      <c r="S291" s="648"/>
      <c r="T291" s="297"/>
    </row>
    <row r="292" spans="1:21" ht="51" customHeight="1" x14ac:dyDescent="0.25">
      <c r="A292" s="629"/>
      <c r="B292" s="630"/>
      <c r="C292" s="357" t="s">
        <v>172</v>
      </c>
      <c r="D292" s="377" t="s">
        <v>34</v>
      </c>
      <c r="E292" s="357" t="s">
        <v>25</v>
      </c>
      <c r="F292" s="358" t="s">
        <v>443</v>
      </c>
      <c r="G292" s="366">
        <v>0</v>
      </c>
      <c r="H292" s="366">
        <v>100</v>
      </c>
      <c r="I292" s="51"/>
      <c r="J292" s="357"/>
      <c r="K292" s="361"/>
      <c r="L292" s="357"/>
      <c r="M292" s="357"/>
      <c r="N292" s="357"/>
      <c r="O292" s="367"/>
      <c r="P292" s="84"/>
      <c r="Q292" s="353"/>
      <c r="R292" s="354"/>
      <c r="S292" s="648"/>
      <c r="T292" s="297"/>
    </row>
    <row r="293" spans="1:21" s="40" customFormat="1" ht="51" customHeight="1" x14ac:dyDescent="0.25">
      <c r="A293" s="629"/>
      <c r="B293" s="630"/>
      <c r="C293" s="371" t="s">
        <v>305</v>
      </c>
      <c r="D293" s="377" t="s">
        <v>485</v>
      </c>
      <c r="E293" s="357" t="s">
        <v>38</v>
      </c>
      <c r="F293" s="239">
        <v>180</v>
      </c>
      <c r="G293" s="218">
        <v>180</v>
      </c>
      <c r="H293" s="367">
        <f>IF(G293/F293*100&gt;100,100,G293/F293*100)</f>
        <v>100</v>
      </c>
      <c r="I293" s="51"/>
      <c r="J293" s="357"/>
      <c r="K293" s="361"/>
      <c r="L293" s="357"/>
      <c r="M293" s="357"/>
      <c r="N293" s="357"/>
      <c r="O293" s="367"/>
      <c r="P293" s="84"/>
      <c r="Q293" s="353"/>
      <c r="R293" s="354"/>
      <c r="S293" s="648"/>
      <c r="T293" s="297"/>
      <c r="U293" s="441"/>
    </row>
    <row r="294" spans="1:21" s="40" customFormat="1" ht="44.25" customHeight="1" x14ac:dyDescent="0.25">
      <c r="A294" s="629"/>
      <c r="B294" s="630"/>
      <c r="C294" s="30"/>
      <c r="D294" s="21" t="s">
        <v>6</v>
      </c>
      <c r="E294" s="30"/>
      <c r="F294" s="222"/>
      <c r="G294" s="222"/>
      <c r="H294" s="222"/>
      <c r="I294" s="178">
        <f>(H291+H292+H293)/3</f>
        <v>100</v>
      </c>
      <c r="J294" s="355"/>
      <c r="K294" s="21" t="s">
        <v>6</v>
      </c>
      <c r="L294" s="355"/>
      <c r="M294" s="355"/>
      <c r="N294" s="355"/>
      <c r="O294" s="222"/>
      <c r="P294" s="7">
        <f>O291</f>
        <v>110</v>
      </c>
      <c r="Q294" s="7">
        <f>(I294+P294)/2</f>
        <v>105</v>
      </c>
      <c r="R294" s="355" t="s">
        <v>31</v>
      </c>
      <c r="S294" s="648"/>
      <c r="T294" s="297"/>
      <c r="U294" s="441"/>
    </row>
  </sheetData>
  <autoFilter ref="A11:U294"/>
  <mergeCells count="146">
    <mergeCell ref="C118:C119"/>
    <mergeCell ref="D118:D119"/>
    <mergeCell ref="E118:E119"/>
    <mergeCell ref="F118:F119"/>
    <mergeCell ref="F114:F115"/>
    <mergeCell ref="G114:G115"/>
    <mergeCell ref="H114:H115"/>
    <mergeCell ref="I114:I115"/>
    <mergeCell ref="R74:R75"/>
    <mergeCell ref="I118:I119"/>
    <mergeCell ref="P98:P99"/>
    <mergeCell ref="Q98:Q99"/>
    <mergeCell ref="R98:R99"/>
    <mergeCell ref="C114:C115"/>
    <mergeCell ref="D114:D115"/>
    <mergeCell ref="E114:E115"/>
    <mergeCell ref="P74:P75"/>
    <mergeCell ref="Q74:Q75"/>
    <mergeCell ref="C90:C91"/>
    <mergeCell ref="D90:D91"/>
    <mergeCell ref="E90:E91"/>
    <mergeCell ref="F90:F91"/>
    <mergeCell ref="G90:G91"/>
    <mergeCell ref="H90:H91"/>
    <mergeCell ref="A229:A269"/>
    <mergeCell ref="B229:B269"/>
    <mergeCell ref="S229:S269"/>
    <mergeCell ref="A270:A294"/>
    <mergeCell ref="B270:B294"/>
    <mergeCell ref="S270:S294"/>
    <mergeCell ref="A167:A195"/>
    <mergeCell ref="B167:B195"/>
    <mergeCell ref="S167:S195"/>
    <mergeCell ref="A196:A228"/>
    <mergeCell ref="B196:B228"/>
    <mergeCell ref="S196:S228"/>
    <mergeCell ref="A121:A149"/>
    <mergeCell ref="B121:B149"/>
    <mergeCell ref="S121:S149"/>
    <mergeCell ref="A150:A166"/>
    <mergeCell ref="B150:B166"/>
    <mergeCell ref="S150:S166"/>
    <mergeCell ref="I94:I95"/>
    <mergeCell ref="A97:A120"/>
    <mergeCell ref="B97:B120"/>
    <mergeCell ref="S97:S120"/>
    <mergeCell ref="J98:J99"/>
    <mergeCell ref="K98:K99"/>
    <mergeCell ref="L98:L99"/>
    <mergeCell ref="M98:M99"/>
    <mergeCell ref="N98:N99"/>
    <mergeCell ref="O98:O99"/>
    <mergeCell ref="C94:C95"/>
    <mergeCell ref="D94:D95"/>
    <mergeCell ref="E94:E95"/>
    <mergeCell ref="F94:F95"/>
    <mergeCell ref="G94:G95"/>
    <mergeCell ref="H94:H95"/>
    <mergeCell ref="G118:G119"/>
    <mergeCell ref="H118:H119"/>
    <mergeCell ref="I90:I91"/>
    <mergeCell ref="I70:I71"/>
    <mergeCell ref="A73:A96"/>
    <mergeCell ref="B73:B96"/>
    <mergeCell ref="S73:S96"/>
    <mergeCell ref="J74:J75"/>
    <mergeCell ref="K74:K75"/>
    <mergeCell ref="L74:L75"/>
    <mergeCell ref="M74:M75"/>
    <mergeCell ref="N74:N75"/>
    <mergeCell ref="O74:O75"/>
    <mergeCell ref="C70:C71"/>
    <mergeCell ref="D70:D71"/>
    <mergeCell ref="E70:E71"/>
    <mergeCell ref="F70:F71"/>
    <mergeCell ref="G70:G71"/>
    <mergeCell ref="H70:H71"/>
    <mergeCell ref="A56:A72"/>
    <mergeCell ref="B56:B72"/>
    <mergeCell ref="S56:S72"/>
    <mergeCell ref="C66:C67"/>
    <mergeCell ref="D66:D67"/>
    <mergeCell ref="E66:E67"/>
    <mergeCell ref="F66:F67"/>
    <mergeCell ref="G66:G67"/>
    <mergeCell ref="E49:E50"/>
    <mergeCell ref="F49:F50"/>
    <mergeCell ref="G49:G50"/>
    <mergeCell ref="H49:H50"/>
    <mergeCell ref="H66:H67"/>
    <mergeCell ref="I66:I67"/>
    <mergeCell ref="I49:I50"/>
    <mergeCell ref="C53:C54"/>
    <mergeCell ref="D53:D54"/>
    <mergeCell ref="E53:E54"/>
    <mergeCell ref="F53:F54"/>
    <mergeCell ref="G53:G54"/>
    <mergeCell ref="H53:H54"/>
    <mergeCell ref="I53:I54"/>
    <mergeCell ref="A20:A32"/>
    <mergeCell ref="B20:B32"/>
    <mergeCell ref="S20:S32"/>
    <mergeCell ref="J21:J22"/>
    <mergeCell ref="K21:K22"/>
    <mergeCell ref="L21:L22"/>
    <mergeCell ref="M21:M22"/>
    <mergeCell ref="S33:S55"/>
    <mergeCell ref="N21:N22"/>
    <mergeCell ref="O21:O22"/>
    <mergeCell ref="P21:P22"/>
    <mergeCell ref="Q21:Q22"/>
    <mergeCell ref="R21:R22"/>
    <mergeCell ref="A33:A55"/>
    <mergeCell ref="B33:B55"/>
    <mergeCell ref="C42:C43"/>
    <mergeCell ref="D42:D43"/>
    <mergeCell ref="E42:E43"/>
    <mergeCell ref="F42:F43"/>
    <mergeCell ref="G42:G43"/>
    <mergeCell ref="H42:H43"/>
    <mergeCell ref="I42:I43"/>
    <mergeCell ref="C49:C50"/>
    <mergeCell ref="D49:D50"/>
    <mergeCell ref="A12:A19"/>
    <mergeCell ref="B12:B19"/>
    <mergeCell ref="S12:S19"/>
    <mergeCell ref="J13:J14"/>
    <mergeCell ref="K13:K14"/>
    <mergeCell ref="L13:L14"/>
    <mergeCell ref="M13:M14"/>
    <mergeCell ref="N13:N14"/>
    <mergeCell ref="O13:O14"/>
    <mergeCell ref="P13:P14"/>
    <mergeCell ref="Q13:Q14"/>
    <mergeCell ref="R13:R14"/>
    <mergeCell ref="B2:Q2"/>
    <mergeCell ref="B3:Q3"/>
    <mergeCell ref="B4:Q4"/>
    <mergeCell ref="B5:Q5"/>
    <mergeCell ref="B6:Q6"/>
    <mergeCell ref="A8:A10"/>
    <mergeCell ref="B8:B10"/>
    <mergeCell ref="D8:R8"/>
    <mergeCell ref="D9:I9"/>
    <mergeCell ref="J9:P9"/>
    <mergeCell ref="Q9:S9"/>
  </mergeCells>
  <pageMargins left="0.70866141732283472" right="0.19685039370078741" top="0.19685039370078741" bottom="0.19685039370078741" header="0.31496062992125984" footer="0.31496062992125984"/>
  <pageSetup paperSize="9" scale="34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tabColor rgb="FF92D050"/>
    <pageSetUpPr fitToPage="1"/>
  </sheetPr>
  <dimension ref="A1:DK408"/>
  <sheetViews>
    <sheetView view="pageBreakPreview" zoomScale="57" zoomScaleNormal="50" zoomScaleSheetLayoutView="57" workbookViewId="0">
      <selection activeCell="K13" sqref="K13"/>
    </sheetView>
  </sheetViews>
  <sheetFormatPr defaultRowHeight="18.75" x14ac:dyDescent="0.3"/>
  <cols>
    <col min="1" max="1" width="9.140625" style="244"/>
    <col min="2" max="2" width="27.140625" style="309" customWidth="1"/>
    <col min="3" max="3" width="9.140625" style="309"/>
    <col min="4" max="4" width="45.28515625" style="290" customWidth="1"/>
    <col min="5" max="5" width="18.85546875" style="309" customWidth="1"/>
    <col min="6" max="6" width="16.140625" style="309" customWidth="1"/>
    <col min="7" max="7" width="18" style="309" customWidth="1"/>
    <col min="8" max="8" width="17.7109375" style="309" customWidth="1"/>
    <col min="9" max="9" width="15.42578125" style="309" customWidth="1"/>
    <col min="10" max="10" width="12.5703125" style="309" customWidth="1"/>
    <col min="11" max="11" width="47.28515625" style="290" customWidth="1"/>
    <col min="12" max="12" width="16.5703125" style="309" customWidth="1"/>
    <col min="13" max="14" width="21" style="309" customWidth="1"/>
    <col min="15" max="15" width="13.42578125" style="309" customWidth="1"/>
    <col min="16" max="16" width="18.42578125" style="309" customWidth="1"/>
    <col min="17" max="17" width="14.42578125" style="309" customWidth="1"/>
    <col min="18" max="18" width="24" style="309" customWidth="1"/>
    <col min="19" max="19" width="25.7109375" style="291" customWidth="1"/>
    <col min="20" max="20" width="48.5703125" style="438" customWidth="1"/>
    <col min="21" max="21" width="9.140625" style="180"/>
    <col min="22" max="16384" width="9.140625" style="155"/>
  </cols>
  <sheetData>
    <row r="1" spans="1:21" x14ac:dyDescent="0.3">
      <c r="B1" s="245"/>
      <c r="C1" s="245"/>
      <c r="D1" s="246"/>
      <c r="E1" s="247"/>
      <c r="F1" s="298"/>
      <c r="G1" s="298"/>
      <c r="H1" s="298"/>
      <c r="I1" s="245"/>
      <c r="J1" s="245"/>
      <c r="K1" s="246"/>
      <c r="L1" s="245"/>
      <c r="M1" s="245"/>
      <c r="N1" s="245"/>
      <c r="O1" s="245"/>
      <c r="P1" s="245"/>
      <c r="Q1" s="245"/>
      <c r="R1" s="245"/>
    </row>
    <row r="2" spans="1:21" ht="20.25" x14ac:dyDescent="0.3">
      <c r="B2" s="649" t="s">
        <v>0</v>
      </c>
      <c r="C2" s="649"/>
      <c r="D2" s="649"/>
      <c r="E2" s="649"/>
      <c r="F2" s="649"/>
      <c r="G2" s="649"/>
      <c r="H2" s="649"/>
      <c r="I2" s="649"/>
      <c r="J2" s="649"/>
      <c r="K2" s="649"/>
      <c r="L2" s="649"/>
      <c r="M2" s="649"/>
      <c r="N2" s="649"/>
      <c r="O2" s="649"/>
      <c r="P2" s="649"/>
      <c r="Q2" s="649"/>
      <c r="R2" s="245"/>
    </row>
    <row r="3" spans="1:21" ht="16.5" customHeight="1" x14ac:dyDescent="0.3">
      <c r="B3" s="649" t="s">
        <v>287</v>
      </c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9"/>
      <c r="Q3" s="649"/>
      <c r="R3" s="245"/>
    </row>
    <row r="4" spans="1:21" ht="24" customHeight="1" x14ac:dyDescent="0.3">
      <c r="B4" s="650" t="s">
        <v>283</v>
      </c>
      <c r="C4" s="650"/>
      <c r="D4" s="650"/>
      <c r="E4" s="650"/>
      <c r="F4" s="650"/>
      <c r="G4" s="650"/>
      <c r="H4" s="650"/>
      <c r="I4" s="650"/>
      <c r="J4" s="650"/>
      <c r="K4" s="650"/>
      <c r="L4" s="650"/>
      <c r="M4" s="650"/>
      <c r="N4" s="650"/>
      <c r="O4" s="650"/>
      <c r="P4" s="650"/>
      <c r="Q4" s="650"/>
      <c r="R4" s="245"/>
    </row>
    <row r="5" spans="1:21" x14ac:dyDescent="0.3">
      <c r="B5" s="651" t="s">
        <v>33</v>
      </c>
      <c r="C5" s="651"/>
      <c r="D5" s="651"/>
      <c r="E5" s="651"/>
      <c r="F5" s="651"/>
      <c r="G5" s="651"/>
      <c r="H5" s="651"/>
      <c r="I5" s="651"/>
      <c r="J5" s="651"/>
      <c r="K5" s="651"/>
      <c r="L5" s="651"/>
      <c r="M5" s="651"/>
      <c r="N5" s="651"/>
      <c r="O5" s="651"/>
      <c r="P5" s="651"/>
      <c r="Q5" s="651"/>
      <c r="R5" s="299"/>
    </row>
    <row r="6" spans="1:21" ht="20.25" x14ac:dyDescent="0.3">
      <c r="B6" s="649" t="s">
        <v>563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49"/>
      <c r="O6" s="649"/>
      <c r="P6" s="649"/>
      <c r="Q6" s="649"/>
      <c r="R6" s="245"/>
    </row>
    <row r="7" spans="1:21" x14ac:dyDescent="0.3">
      <c r="B7" s="248"/>
      <c r="C7" s="248"/>
      <c r="D7" s="249"/>
      <c r="E7" s="248"/>
      <c r="F7" s="250"/>
      <c r="G7" s="248"/>
      <c r="H7" s="248"/>
      <c r="I7" s="248"/>
      <c r="J7" s="248"/>
      <c r="K7" s="249"/>
      <c r="L7" s="248"/>
      <c r="M7" s="248"/>
      <c r="N7" s="248"/>
      <c r="O7" s="248"/>
      <c r="P7" s="248"/>
      <c r="Q7" s="248"/>
      <c r="R7" s="245"/>
    </row>
    <row r="8" spans="1:21" ht="16.5" customHeight="1" x14ac:dyDescent="0.3">
      <c r="A8" s="630" t="s">
        <v>1</v>
      </c>
      <c r="B8" s="630" t="s">
        <v>492</v>
      </c>
      <c r="C8" s="354"/>
      <c r="D8" s="630" t="s">
        <v>2</v>
      </c>
      <c r="E8" s="630"/>
      <c r="F8" s="630"/>
      <c r="G8" s="630"/>
      <c r="H8" s="630"/>
      <c r="I8" s="630"/>
      <c r="J8" s="630"/>
      <c r="K8" s="630"/>
      <c r="L8" s="630"/>
      <c r="M8" s="630"/>
      <c r="N8" s="630"/>
      <c r="O8" s="630"/>
      <c r="P8" s="630"/>
      <c r="Q8" s="630"/>
      <c r="R8" s="630"/>
      <c r="S8" s="630"/>
    </row>
    <row r="9" spans="1:21" ht="16.5" customHeight="1" x14ac:dyDescent="0.3">
      <c r="A9" s="630"/>
      <c r="B9" s="630"/>
      <c r="C9" s="354"/>
      <c r="D9" s="630" t="s">
        <v>70</v>
      </c>
      <c r="E9" s="630"/>
      <c r="F9" s="630"/>
      <c r="G9" s="630"/>
      <c r="H9" s="630"/>
      <c r="I9" s="630"/>
      <c r="J9" s="630" t="s">
        <v>71</v>
      </c>
      <c r="K9" s="667"/>
      <c r="L9" s="667"/>
      <c r="M9" s="667"/>
      <c r="N9" s="667"/>
      <c r="O9" s="667"/>
      <c r="P9" s="667"/>
      <c r="Q9" s="630" t="s">
        <v>24</v>
      </c>
      <c r="R9" s="630"/>
      <c r="S9" s="652"/>
    </row>
    <row r="10" spans="1:21" ht="66" x14ac:dyDescent="0.3">
      <c r="A10" s="656"/>
      <c r="B10" s="630"/>
      <c r="C10" s="354" t="s">
        <v>1</v>
      </c>
      <c r="D10" s="251" t="s">
        <v>5</v>
      </c>
      <c r="E10" s="378" t="s">
        <v>11</v>
      </c>
      <c r="F10" s="300" t="s">
        <v>16</v>
      </c>
      <c r="G10" s="300" t="s">
        <v>17</v>
      </c>
      <c r="H10" s="300" t="s">
        <v>18</v>
      </c>
      <c r="I10" s="300" t="s">
        <v>19</v>
      </c>
      <c r="J10" s="354" t="s">
        <v>1</v>
      </c>
      <c r="K10" s="251" t="s">
        <v>5</v>
      </c>
      <c r="L10" s="378" t="s">
        <v>11</v>
      </c>
      <c r="M10" s="300" t="s">
        <v>20</v>
      </c>
      <c r="N10" s="300" t="s">
        <v>21</v>
      </c>
      <c r="O10" s="300" t="s">
        <v>23</v>
      </c>
      <c r="P10" s="300" t="s">
        <v>22</v>
      </c>
      <c r="Q10" s="272" t="s">
        <v>62</v>
      </c>
      <c r="R10" s="354" t="s">
        <v>422</v>
      </c>
      <c r="S10" s="354" t="s">
        <v>423</v>
      </c>
    </row>
    <row r="11" spans="1:21" s="255" customFormat="1" ht="16.5" customHeight="1" x14ac:dyDescent="0.25">
      <c r="A11" s="252">
        <v>1</v>
      </c>
      <c r="B11" s="253">
        <v>2</v>
      </c>
      <c r="C11" s="254">
        <v>3</v>
      </c>
      <c r="D11" s="252">
        <v>4</v>
      </c>
      <c r="E11" s="253">
        <v>5</v>
      </c>
      <c r="F11" s="254">
        <v>6</v>
      </c>
      <c r="G11" s="252">
        <v>7</v>
      </c>
      <c r="H11" s="253">
        <v>8</v>
      </c>
      <c r="I11" s="254">
        <v>9</v>
      </c>
      <c r="J11" s="253">
        <v>10</v>
      </c>
      <c r="K11" s="254">
        <v>11</v>
      </c>
      <c r="L11" s="252">
        <v>12</v>
      </c>
      <c r="M11" s="253">
        <v>13</v>
      </c>
      <c r="N11" s="254">
        <v>14</v>
      </c>
      <c r="O11" s="253">
        <v>15</v>
      </c>
      <c r="P11" s="252">
        <v>16</v>
      </c>
      <c r="Q11" s="252">
        <v>17</v>
      </c>
      <c r="R11" s="254">
        <v>18</v>
      </c>
      <c r="S11" s="254">
        <v>19</v>
      </c>
      <c r="T11" s="439"/>
      <c r="U11" s="256"/>
    </row>
    <row r="12" spans="1:21" ht="107.25" customHeight="1" x14ac:dyDescent="0.3">
      <c r="A12" s="653" t="s">
        <v>67</v>
      </c>
      <c r="B12" s="656" t="s">
        <v>493</v>
      </c>
      <c r="C12" s="257" t="s">
        <v>12</v>
      </c>
      <c r="D12" s="22" t="s">
        <v>494</v>
      </c>
      <c r="E12" s="357"/>
      <c r="F12" s="258"/>
      <c r="G12" s="358"/>
      <c r="H12" s="353"/>
      <c r="I12" s="353"/>
      <c r="J12" s="257" t="s">
        <v>12</v>
      </c>
      <c r="K12" s="22" t="str">
        <f>D12</f>
        <v>Реализация дополнительных образовательных программ спортивной подготовки по олимпийским видам спорта 
Волейбол (этап начальной подготовки)</v>
      </c>
      <c r="L12" s="357"/>
      <c r="M12" s="258"/>
      <c r="N12" s="258"/>
      <c r="O12" s="353"/>
      <c r="P12" s="39"/>
      <c r="Q12" s="353"/>
      <c r="R12" s="359"/>
      <c r="S12" s="659" t="s">
        <v>279</v>
      </c>
    </row>
    <row r="13" spans="1:21" ht="117.75" customHeight="1" x14ac:dyDescent="0.3">
      <c r="A13" s="654"/>
      <c r="B13" s="657"/>
      <c r="C13" s="17" t="s">
        <v>7</v>
      </c>
      <c r="D13" s="259" t="s">
        <v>495</v>
      </c>
      <c r="E13" s="357" t="s">
        <v>38</v>
      </c>
      <c r="F13" s="179">
        <v>0</v>
      </c>
      <c r="G13" s="179">
        <v>0</v>
      </c>
      <c r="H13" s="358">
        <v>100</v>
      </c>
      <c r="I13" s="260"/>
      <c r="J13" s="17" t="s">
        <v>37</v>
      </c>
      <c r="K13" s="361" t="s">
        <v>496</v>
      </c>
      <c r="L13" s="357" t="s">
        <v>38</v>
      </c>
      <c r="M13" s="261">
        <v>86</v>
      </c>
      <c r="N13" s="261">
        <v>86</v>
      </c>
      <c r="O13" s="260">
        <f t="shared" ref="O13:O79" si="0">IF(N13/M13*100&gt;110,110,N13/M13*100)</f>
        <v>100</v>
      </c>
      <c r="P13" s="262"/>
      <c r="Q13" s="353"/>
      <c r="R13" s="263"/>
      <c r="S13" s="660"/>
    </row>
    <row r="14" spans="1:21" ht="181.5" x14ac:dyDescent="0.3">
      <c r="A14" s="654"/>
      <c r="B14" s="657"/>
      <c r="C14" s="17" t="s">
        <v>8</v>
      </c>
      <c r="D14" s="259" t="s">
        <v>497</v>
      </c>
      <c r="E14" s="357" t="s">
        <v>38</v>
      </c>
      <c r="F14" s="179" t="s">
        <v>498</v>
      </c>
      <c r="G14" s="179" t="s">
        <v>498</v>
      </c>
      <c r="H14" s="179" t="s">
        <v>498</v>
      </c>
      <c r="I14" s="179"/>
      <c r="J14" s="17"/>
      <c r="K14" s="361"/>
      <c r="L14" s="357"/>
      <c r="M14" s="357"/>
      <c r="N14" s="357"/>
      <c r="O14" s="260"/>
      <c r="P14" s="262"/>
      <c r="Q14" s="353"/>
      <c r="R14" s="263"/>
      <c r="S14" s="660"/>
    </row>
    <row r="15" spans="1:21" ht="33" x14ac:dyDescent="0.3">
      <c r="A15" s="654"/>
      <c r="B15" s="657"/>
      <c r="C15" s="357"/>
      <c r="D15" s="21" t="s">
        <v>6</v>
      </c>
      <c r="E15" s="30"/>
      <c r="F15" s="105"/>
      <c r="G15" s="106"/>
      <c r="H15" s="7"/>
      <c r="I15" s="7">
        <f>H13</f>
        <v>100</v>
      </c>
      <c r="J15" s="355"/>
      <c r="K15" s="21" t="s">
        <v>6</v>
      </c>
      <c r="L15" s="355"/>
      <c r="M15" s="355"/>
      <c r="N15" s="355"/>
      <c r="O15" s="7"/>
      <c r="P15" s="7">
        <f>O13</f>
        <v>100</v>
      </c>
      <c r="Q15" s="7">
        <f t="shared" ref="Q15:Q23" si="1">(I15+P15)/2</f>
        <v>100</v>
      </c>
      <c r="R15" s="176" t="s">
        <v>31</v>
      </c>
      <c r="S15" s="660"/>
    </row>
    <row r="16" spans="1:21" ht="148.5" customHeight="1" x14ac:dyDescent="0.3">
      <c r="A16" s="654"/>
      <c r="B16" s="657"/>
      <c r="C16" s="257" t="s">
        <v>13</v>
      </c>
      <c r="D16" s="22" t="s">
        <v>499</v>
      </c>
      <c r="E16" s="357"/>
      <c r="F16" s="258"/>
      <c r="G16" s="358"/>
      <c r="H16" s="353"/>
      <c r="I16" s="353"/>
      <c r="J16" s="257" t="str">
        <f>C16</f>
        <v>II</v>
      </c>
      <c r="K16" s="22" t="str">
        <f>D16</f>
        <v>Реализация дополнительных образовательных программ спортивной подготовки по олимпийским видам спорта 
Волейбол (учебно-тренировочный этап (этап спортивной специализации))</v>
      </c>
      <c r="L16" s="357"/>
      <c r="M16" s="258"/>
      <c r="N16" s="258"/>
      <c r="O16" s="353"/>
      <c r="P16" s="39"/>
      <c r="Q16" s="353"/>
      <c r="R16" s="359"/>
      <c r="S16" s="660"/>
    </row>
    <row r="17" spans="1:19" ht="113.25" customHeight="1" x14ac:dyDescent="0.3">
      <c r="A17" s="654"/>
      <c r="B17" s="657"/>
      <c r="C17" s="17" t="s">
        <v>14</v>
      </c>
      <c r="D17" s="259" t="s">
        <v>495</v>
      </c>
      <c r="E17" s="357" t="s">
        <v>38</v>
      </c>
      <c r="F17" s="179">
        <v>0</v>
      </c>
      <c r="G17" s="179">
        <v>0</v>
      </c>
      <c r="H17" s="358">
        <v>100</v>
      </c>
      <c r="I17" s="260"/>
      <c r="J17" s="17" t="str">
        <f>C17</f>
        <v>2.1.</v>
      </c>
      <c r="K17" s="361" t="s">
        <v>496</v>
      </c>
      <c r="L17" s="357" t="s">
        <v>38</v>
      </c>
      <c r="M17" s="357">
        <v>108</v>
      </c>
      <c r="N17" s="357">
        <v>108</v>
      </c>
      <c r="O17" s="260">
        <f t="shared" si="0"/>
        <v>100</v>
      </c>
      <c r="P17" s="39"/>
      <c r="Q17" s="353"/>
      <c r="R17" s="359"/>
      <c r="S17" s="660"/>
    </row>
    <row r="18" spans="1:19" ht="195.75" customHeight="1" x14ac:dyDescent="0.3">
      <c r="A18" s="654"/>
      <c r="B18" s="657"/>
      <c r="C18" s="17" t="s">
        <v>15</v>
      </c>
      <c r="D18" s="259" t="s">
        <v>497</v>
      </c>
      <c r="E18" s="357" t="s">
        <v>38</v>
      </c>
      <c r="F18" s="179" t="s">
        <v>498</v>
      </c>
      <c r="G18" s="179" t="s">
        <v>498</v>
      </c>
      <c r="H18" s="179" t="s">
        <v>498</v>
      </c>
      <c r="I18" s="179"/>
      <c r="J18" s="17"/>
      <c r="K18" s="361"/>
      <c r="L18" s="357"/>
      <c r="M18" s="357"/>
      <c r="N18" s="357"/>
      <c r="O18" s="260"/>
      <c r="P18" s="262"/>
      <c r="Q18" s="353"/>
      <c r="R18" s="263"/>
      <c r="S18" s="660"/>
    </row>
    <row r="19" spans="1:19" ht="33" x14ac:dyDescent="0.3">
      <c r="A19" s="654"/>
      <c r="B19" s="657"/>
      <c r="C19" s="357"/>
      <c r="D19" s="21" t="s">
        <v>6</v>
      </c>
      <c r="E19" s="30"/>
      <c r="F19" s="105"/>
      <c r="G19" s="106"/>
      <c r="H19" s="7"/>
      <c r="I19" s="7">
        <f>H17</f>
        <v>100</v>
      </c>
      <c r="J19" s="355"/>
      <c r="K19" s="21" t="s">
        <v>6</v>
      </c>
      <c r="L19" s="355"/>
      <c r="M19" s="355"/>
      <c r="N19" s="355"/>
      <c r="O19" s="7"/>
      <c r="P19" s="7">
        <f>O17</f>
        <v>100</v>
      </c>
      <c r="Q19" s="7">
        <f>(I19+P19)/2</f>
        <v>100</v>
      </c>
      <c r="R19" s="176" t="s">
        <v>31</v>
      </c>
      <c r="S19" s="660"/>
    </row>
    <row r="20" spans="1:19" ht="99" x14ac:dyDescent="0.3">
      <c r="A20" s="654"/>
      <c r="B20" s="657"/>
      <c r="C20" s="354" t="s">
        <v>28</v>
      </c>
      <c r="D20" s="22" t="s">
        <v>500</v>
      </c>
      <c r="E20" s="354"/>
      <c r="F20" s="203"/>
      <c r="G20" s="353"/>
      <c r="H20" s="353"/>
      <c r="I20" s="353"/>
      <c r="J20" s="354" t="str">
        <f t="shared" ref="J20:J32" si="2">C20</f>
        <v>III</v>
      </c>
      <c r="K20" s="22" t="str">
        <f>D20</f>
        <v>Реализация дополнительных образовательных программ спортивной подготовки по олимпийским видам спорта 
Баскетбол (этап начальной подготовки)</v>
      </c>
      <c r="L20" s="357"/>
      <c r="M20" s="358"/>
      <c r="N20" s="358"/>
      <c r="O20" s="353"/>
      <c r="P20" s="353"/>
      <c r="Q20" s="353"/>
      <c r="R20" s="359"/>
      <c r="S20" s="660"/>
    </row>
    <row r="21" spans="1:19" ht="99" x14ac:dyDescent="0.3">
      <c r="A21" s="654"/>
      <c r="B21" s="657"/>
      <c r="C21" s="17" t="s">
        <v>29</v>
      </c>
      <c r="D21" s="259" t="s">
        <v>495</v>
      </c>
      <c r="E21" s="357" t="s">
        <v>38</v>
      </c>
      <c r="F21" s="179">
        <v>0</v>
      </c>
      <c r="G21" s="179">
        <v>0</v>
      </c>
      <c r="H21" s="358">
        <v>100</v>
      </c>
      <c r="I21" s="260"/>
      <c r="J21" s="17" t="str">
        <f t="shared" si="2"/>
        <v>3.1.</v>
      </c>
      <c r="K21" s="361" t="s">
        <v>496</v>
      </c>
      <c r="L21" s="357" t="s">
        <v>38</v>
      </c>
      <c r="M21" s="357">
        <v>212</v>
      </c>
      <c r="N21" s="357">
        <v>212</v>
      </c>
      <c r="O21" s="358">
        <f t="shared" si="0"/>
        <v>100</v>
      </c>
      <c r="P21" s="353"/>
      <c r="Q21" s="353"/>
      <c r="R21" s="359"/>
      <c r="S21" s="660"/>
    </row>
    <row r="22" spans="1:19" ht="181.5" x14ac:dyDescent="0.3">
      <c r="A22" s="654"/>
      <c r="B22" s="657"/>
      <c r="C22" s="17" t="s">
        <v>30</v>
      </c>
      <c r="D22" s="259" t="s">
        <v>497</v>
      </c>
      <c r="E22" s="357" t="s">
        <v>38</v>
      </c>
      <c r="F22" s="179" t="s">
        <v>498</v>
      </c>
      <c r="G22" s="179" t="s">
        <v>498</v>
      </c>
      <c r="H22" s="179" t="s">
        <v>498</v>
      </c>
      <c r="I22" s="179"/>
      <c r="J22" s="17"/>
      <c r="K22" s="361"/>
      <c r="L22" s="357"/>
      <c r="M22" s="357"/>
      <c r="N22" s="357"/>
      <c r="O22" s="358"/>
      <c r="P22" s="262"/>
      <c r="Q22" s="353"/>
      <c r="R22" s="263"/>
      <c r="S22" s="660"/>
    </row>
    <row r="23" spans="1:19" ht="33" x14ac:dyDescent="0.3">
      <c r="A23" s="654"/>
      <c r="B23" s="657"/>
      <c r="C23" s="357"/>
      <c r="D23" s="21" t="s">
        <v>6</v>
      </c>
      <c r="E23" s="30"/>
      <c r="F23" s="105"/>
      <c r="G23" s="106"/>
      <c r="H23" s="7"/>
      <c r="I23" s="7">
        <f>H21</f>
        <v>100</v>
      </c>
      <c r="J23" s="355"/>
      <c r="K23" s="21" t="s">
        <v>6</v>
      </c>
      <c r="L23" s="355"/>
      <c r="M23" s="355"/>
      <c r="N23" s="355"/>
      <c r="O23" s="7"/>
      <c r="P23" s="7">
        <f>O21</f>
        <v>100</v>
      </c>
      <c r="Q23" s="7">
        <f t="shared" si="1"/>
        <v>100</v>
      </c>
      <c r="R23" s="176" t="s">
        <v>31</v>
      </c>
      <c r="S23" s="660"/>
    </row>
    <row r="24" spans="1:19" ht="115.5" x14ac:dyDescent="0.3">
      <c r="A24" s="654"/>
      <c r="B24" s="657"/>
      <c r="C24" s="257" t="s">
        <v>42</v>
      </c>
      <c r="D24" s="22" t="s">
        <v>501</v>
      </c>
      <c r="E24" s="354"/>
      <c r="F24" s="203"/>
      <c r="G24" s="353"/>
      <c r="H24" s="353"/>
      <c r="I24" s="353"/>
      <c r="J24" s="257" t="str">
        <f t="shared" si="2"/>
        <v>IV</v>
      </c>
      <c r="K24" s="22" t="str">
        <f>D24</f>
        <v>Реализация дополнительных образовательных программ спортивной подготовки по олимпийским видам спорта 
Баскетбол (учебно-тренировочный этап (этап спортивной специализации))</v>
      </c>
      <c r="L24" s="357"/>
      <c r="M24" s="258"/>
      <c r="N24" s="258"/>
      <c r="O24" s="353"/>
      <c r="P24" s="262"/>
      <c r="Q24" s="353"/>
      <c r="R24" s="359"/>
      <c r="S24" s="660"/>
    </row>
    <row r="25" spans="1:19" ht="99" x14ac:dyDescent="0.3">
      <c r="A25" s="654"/>
      <c r="B25" s="657"/>
      <c r="C25" s="17" t="s">
        <v>43</v>
      </c>
      <c r="D25" s="259" t="s">
        <v>495</v>
      </c>
      <c r="E25" s="357" t="s">
        <v>38</v>
      </c>
      <c r="F25" s="179">
        <v>0</v>
      </c>
      <c r="G25" s="179">
        <v>0</v>
      </c>
      <c r="H25" s="358">
        <v>100</v>
      </c>
      <c r="I25" s="260"/>
      <c r="J25" s="17" t="str">
        <f t="shared" si="2"/>
        <v>4.1.</v>
      </c>
      <c r="K25" s="361" t="s">
        <v>496</v>
      </c>
      <c r="L25" s="357" t="s">
        <v>38</v>
      </c>
      <c r="M25" s="357">
        <v>192</v>
      </c>
      <c r="N25" s="357">
        <v>192</v>
      </c>
      <c r="O25" s="358">
        <f t="shared" si="0"/>
        <v>100</v>
      </c>
      <c r="P25" s="262"/>
      <c r="Q25" s="353"/>
      <c r="R25" s="359"/>
      <c r="S25" s="660"/>
    </row>
    <row r="26" spans="1:19" ht="181.5" x14ac:dyDescent="0.3">
      <c r="A26" s="654"/>
      <c r="B26" s="657"/>
      <c r="C26" s="17" t="s">
        <v>137</v>
      </c>
      <c r="D26" s="259" t="s">
        <v>497</v>
      </c>
      <c r="E26" s="357" t="s">
        <v>38</v>
      </c>
      <c r="F26" s="179" t="s">
        <v>498</v>
      </c>
      <c r="G26" s="179" t="s">
        <v>498</v>
      </c>
      <c r="H26" s="179" t="s">
        <v>498</v>
      </c>
      <c r="I26" s="179"/>
      <c r="J26" s="17"/>
      <c r="K26" s="361"/>
      <c r="L26" s="357"/>
      <c r="M26" s="357"/>
      <c r="N26" s="357"/>
      <c r="O26" s="358"/>
      <c r="P26" s="262"/>
      <c r="Q26" s="353"/>
      <c r="R26" s="263"/>
      <c r="S26" s="660"/>
    </row>
    <row r="27" spans="1:19" ht="33" x14ac:dyDescent="0.3">
      <c r="A27" s="654"/>
      <c r="B27" s="657"/>
      <c r="C27" s="357"/>
      <c r="D27" s="21" t="s">
        <v>6</v>
      </c>
      <c r="E27" s="30"/>
      <c r="F27" s="105"/>
      <c r="G27" s="106"/>
      <c r="H27" s="7"/>
      <c r="I27" s="7">
        <f>H25</f>
        <v>100</v>
      </c>
      <c r="J27" s="355"/>
      <c r="K27" s="21" t="s">
        <v>6</v>
      </c>
      <c r="L27" s="355"/>
      <c r="M27" s="355"/>
      <c r="N27" s="355"/>
      <c r="O27" s="7"/>
      <c r="P27" s="7">
        <f>O25</f>
        <v>100</v>
      </c>
      <c r="Q27" s="7">
        <f t="shared" ref="Q27" si="3">(I27+P27)/2</f>
        <v>100</v>
      </c>
      <c r="R27" s="176" t="s">
        <v>31</v>
      </c>
      <c r="S27" s="660"/>
    </row>
    <row r="28" spans="1:19" ht="63.75" customHeight="1" x14ac:dyDescent="0.3">
      <c r="A28" s="654"/>
      <c r="B28" s="657"/>
      <c r="C28" s="257" t="s">
        <v>164</v>
      </c>
      <c r="D28" s="22" t="s">
        <v>502</v>
      </c>
      <c r="E28" s="357"/>
      <c r="F28" s="179"/>
      <c r="G28" s="358"/>
      <c r="H28" s="353"/>
      <c r="I28" s="353"/>
      <c r="J28" s="257" t="str">
        <f t="shared" si="2"/>
        <v>V</v>
      </c>
      <c r="K28" s="22" t="str">
        <f>D28</f>
        <v xml:space="preserve">Реализация дополнительных общеразвивающих программ </v>
      </c>
      <c r="L28" s="357"/>
      <c r="M28" s="258"/>
      <c r="N28" s="258"/>
      <c r="O28" s="353"/>
      <c r="P28" s="262"/>
      <c r="Q28" s="353"/>
      <c r="R28" s="359"/>
      <c r="S28" s="660"/>
    </row>
    <row r="29" spans="1:19" ht="36.75" customHeight="1" x14ac:dyDescent="0.3">
      <c r="A29" s="654"/>
      <c r="B29" s="657"/>
      <c r="C29" s="17"/>
      <c r="D29" s="361" t="s">
        <v>498</v>
      </c>
      <c r="E29" s="357" t="s">
        <v>498</v>
      </c>
      <c r="F29" s="357" t="s">
        <v>498</v>
      </c>
      <c r="G29" s="357" t="s">
        <v>498</v>
      </c>
      <c r="H29" s="179" t="s">
        <v>498</v>
      </c>
      <c r="I29" s="357"/>
      <c r="J29" s="17">
        <f t="shared" si="2"/>
        <v>0</v>
      </c>
      <c r="K29" s="361" t="s">
        <v>203</v>
      </c>
      <c r="L29" s="357" t="s">
        <v>204</v>
      </c>
      <c r="M29" s="272">
        <v>20007</v>
      </c>
      <c r="N29" s="272">
        <v>20007</v>
      </c>
      <c r="O29" s="358">
        <f t="shared" si="0"/>
        <v>100</v>
      </c>
      <c r="P29" s="262"/>
      <c r="Q29" s="353"/>
      <c r="R29" s="359"/>
      <c r="S29" s="660"/>
    </row>
    <row r="30" spans="1:19" ht="33" x14ac:dyDescent="0.3">
      <c r="A30" s="654"/>
      <c r="B30" s="657"/>
      <c r="C30" s="357"/>
      <c r="D30" s="21" t="s">
        <v>6</v>
      </c>
      <c r="E30" s="30"/>
      <c r="F30" s="105"/>
      <c r="G30" s="106"/>
      <c r="H30" s="7"/>
      <c r="I30" s="7" t="s">
        <v>555</v>
      </c>
      <c r="J30" s="355"/>
      <c r="K30" s="21" t="s">
        <v>6</v>
      </c>
      <c r="L30" s="355"/>
      <c r="M30" s="355"/>
      <c r="N30" s="355"/>
      <c r="O30" s="7"/>
      <c r="P30" s="7">
        <f>O29</f>
        <v>100</v>
      </c>
      <c r="Q30" s="7">
        <f>P30</f>
        <v>100</v>
      </c>
      <c r="R30" s="176" t="s">
        <v>31</v>
      </c>
      <c r="S30" s="660"/>
    </row>
    <row r="31" spans="1:19" ht="53.25" customHeight="1" x14ac:dyDescent="0.3">
      <c r="A31" s="654"/>
      <c r="B31" s="657"/>
      <c r="C31" s="257" t="s">
        <v>170</v>
      </c>
      <c r="D31" s="22" t="s">
        <v>306</v>
      </c>
      <c r="E31" s="354"/>
      <c r="F31" s="203"/>
      <c r="G31" s="353"/>
      <c r="H31" s="353"/>
      <c r="I31" s="353"/>
      <c r="J31" s="257" t="str">
        <f t="shared" si="2"/>
        <v>VI</v>
      </c>
      <c r="K31" s="22" t="str">
        <f>D31</f>
        <v>Организация мероприятий по подготовке спортивных сборных команд</v>
      </c>
      <c r="L31" s="357"/>
      <c r="M31" s="258"/>
      <c r="N31" s="258"/>
      <c r="O31" s="353"/>
      <c r="P31" s="262"/>
      <c r="Q31" s="353"/>
      <c r="R31" s="359"/>
      <c r="S31" s="660"/>
    </row>
    <row r="32" spans="1:19" ht="85.5" customHeight="1" x14ac:dyDescent="0.3">
      <c r="A32" s="654"/>
      <c r="B32" s="657"/>
      <c r="C32" s="17" t="s">
        <v>171</v>
      </c>
      <c r="D32" s="361" t="s">
        <v>307</v>
      </c>
      <c r="E32" s="357" t="s">
        <v>25</v>
      </c>
      <c r="F32" s="179">
        <v>5</v>
      </c>
      <c r="G32" s="358">
        <v>14.9</v>
      </c>
      <c r="H32" s="358">
        <f>IF(G32/F32*100&gt;100,100,G32/F32*100)</f>
        <v>100</v>
      </c>
      <c r="I32" s="358"/>
      <c r="J32" s="17" t="str">
        <f t="shared" si="2"/>
        <v>6.1.</v>
      </c>
      <c r="K32" s="361" t="s">
        <v>400</v>
      </c>
      <c r="L32" s="357" t="s">
        <v>38</v>
      </c>
      <c r="M32" s="272">
        <v>95</v>
      </c>
      <c r="N32" s="272">
        <v>113</v>
      </c>
      <c r="O32" s="358">
        <f t="shared" si="0"/>
        <v>110</v>
      </c>
      <c r="P32" s="262"/>
      <c r="Q32" s="353"/>
      <c r="R32" s="359"/>
      <c r="S32" s="660"/>
    </row>
    <row r="33" spans="1:20" ht="58.5" customHeight="1" x14ac:dyDescent="0.3">
      <c r="A33" s="655"/>
      <c r="B33" s="658"/>
      <c r="C33" s="357"/>
      <c r="D33" s="21" t="s">
        <v>6</v>
      </c>
      <c r="E33" s="30"/>
      <c r="F33" s="100"/>
      <c r="G33" s="103"/>
      <c r="H33" s="7"/>
      <c r="I33" s="7">
        <f>H32</f>
        <v>100</v>
      </c>
      <c r="J33" s="7"/>
      <c r="K33" s="21" t="s">
        <v>6</v>
      </c>
      <c r="L33" s="7"/>
      <c r="M33" s="264"/>
      <c r="N33" s="264"/>
      <c r="O33" s="7"/>
      <c r="P33" s="7">
        <f>O32</f>
        <v>110</v>
      </c>
      <c r="Q33" s="7">
        <f>(I33+P33)/2</f>
        <v>105</v>
      </c>
      <c r="R33" s="176" t="s">
        <v>31</v>
      </c>
      <c r="S33" s="661"/>
    </row>
    <row r="34" spans="1:20" ht="113.25" customHeight="1" x14ac:dyDescent="0.3">
      <c r="A34" s="653" t="s">
        <v>68</v>
      </c>
      <c r="B34" s="662" t="s">
        <v>503</v>
      </c>
      <c r="C34" s="257" t="s">
        <v>12</v>
      </c>
      <c r="D34" s="22" t="s">
        <v>504</v>
      </c>
      <c r="E34" s="357"/>
      <c r="F34" s="179"/>
      <c r="G34" s="358"/>
      <c r="H34" s="353"/>
      <c r="I34" s="353"/>
      <c r="J34" s="257" t="str">
        <f t="shared" ref="J34:J51" si="4">C34</f>
        <v>I</v>
      </c>
      <c r="K34" s="22" t="str">
        <f>D34</f>
        <v>Реализация дополнительных образовательных программ спортивной подготовки по олимпийским видам спорта 
Прыжки на батуте (этап начальной подготовки)</v>
      </c>
      <c r="L34" s="357"/>
      <c r="M34" s="258"/>
      <c r="N34" s="258"/>
      <c r="O34" s="353"/>
      <c r="P34" s="158"/>
      <c r="Q34" s="353"/>
      <c r="R34" s="359"/>
      <c r="S34" s="665" t="s">
        <v>280</v>
      </c>
    </row>
    <row r="35" spans="1:20" ht="99" x14ac:dyDescent="0.3">
      <c r="A35" s="654"/>
      <c r="B35" s="663"/>
      <c r="C35" s="17" t="s">
        <v>7</v>
      </c>
      <c r="D35" s="259" t="s">
        <v>495</v>
      </c>
      <c r="E35" s="357" t="s">
        <v>38</v>
      </c>
      <c r="F35" s="179">
        <v>0</v>
      </c>
      <c r="G35" s="179">
        <v>0</v>
      </c>
      <c r="H35" s="358">
        <v>100</v>
      </c>
      <c r="I35" s="260"/>
      <c r="J35" s="17" t="str">
        <f t="shared" si="4"/>
        <v>1.1.</v>
      </c>
      <c r="K35" s="361" t="s">
        <v>496</v>
      </c>
      <c r="L35" s="357" t="s">
        <v>38</v>
      </c>
      <c r="M35" s="357">
        <v>22</v>
      </c>
      <c r="N35" s="357">
        <v>22</v>
      </c>
      <c r="O35" s="358">
        <f t="shared" si="0"/>
        <v>100</v>
      </c>
      <c r="P35" s="158"/>
      <c r="Q35" s="353"/>
      <c r="R35" s="359"/>
      <c r="S35" s="666"/>
    </row>
    <row r="36" spans="1:20" s="180" customFormat="1" ht="181.5" x14ac:dyDescent="0.3">
      <c r="A36" s="654"/>
      <c r="B36" s="663"/>
      <c r="C36" s="17" t="s">
        <v>8</v>
      </c>
      <c r="D36" s="259" t="s">
        <v>497</v>
      </c>
      <c r="E36" s="357" t="s">
        <v>38</v>
      </c>
      <c r="F36" s="357" t="s">
        <v>498</v>
      </c>
      <c r="G36" s="357" t="s">
        <v>498</v>
      </c>
      <c r="H36" s="179" t="s">
        <v>498</v>
      </c>
      <c r="I36" s="357"/>
      <c r="J36" s="17"/>
      <c r="K36" s="361"/>
      <c r="L36" s="357"/>
      <c r="M36" s="357"/>
      <c r="N36" s="357"/>
      <c r="O36" s="358"/>
      <c r="P36" s="265"/>
      <c r="Q36" s="353"/>
      <c r="R36" s="266"/>
      <c r="S36" s="666"/>
      <c r="T36" s="438"/>
    </row>
    <row r="37" spans="1:20" ht="33" x14ac:dyDescent="0.3">
      <c r="A37" s="654"/>
      <c r="B37" s="663"/>
      <c r="C37" s="357"/>
      <c r="D37" s="21" t="s">
        <v>6</v>
      </c>
      <c r="E37" s="30"/>
      <c r="F37" s="105"/>
      <c r="G37" s="106"/>
      <c r="H37" s="7"/>
      <c r="I37" s="7">
        <f>H35</f>
        <v>100</v>
      </c>
      <c r="J37" s="355"/>
      <c r="K37" s="21" t="s">
        <v>6</v>
      </c>
      <c r="L37" s="355"/>
      <c r="M37" s="355"/>
      <c r="N37" s="355"/>
      <c r="O37" s="7"/>
      <c r="P37" s="7">
        <f>O35</f>
        <v>100</v>
      </c>
      <c r="Q37" s="7">
        <f t="shared" ref="Q37:Q83" si="5">(I37+P37)/2</f>
        <v>100</v>
      </c>
      <c r="R37" s="176" t="s">
        <v>31</v>
      </c>
      <c r="S37" s="660"/>
    </row>
    <row r="38" spans="1:20" s="180" customFormat="1" ht="178.5" customHeight="1" x14ac:dyDescent="0.3">
      <c r="A38" s="654"/>
      <c r="B38" s="663"/>
      <c r="C38" s="354" t="s">
        <v>13</v>
      </c>
      <c r="D38" s="22" t="s">
        <v>505</v>
      </c>
      <c r="E38" s="354"/>
      <c r="F38" s="203"/>
      <c r="G38" s="353"/>
      <c r="H38" s="353"/>
      <c r="I38" s="353"/>
      <c r="J38" s="257" t="str">
        <f t="shared" si="4"/>
        <v>II</v>
      </c>
      <c r="K38" s="22" t="str">
        <f>D38</f>
        <v>Реализация дополнительных образовательных программ спортивной подготовки по олимпийским видам спорта 
Прыжки на батуте (учебно-тренировочный этап (этап спортивной специализации))
прыжки на батуте (тренировочный этап (этап спортивной специализации))</v>
      </c>
      <c r="L38" s="357"/>
      <c r="M38" s="358"/>
      <c r="N38" s="358"/>
      <c r="O38" s="353"/>
      <c r="P38" s="265"/>
      <c r="Q38" s="353"/>
      <c r="R38" s="359"/>
      <c r="S38" s="666"/>
      <c r="T38" s="438"/>
    </row>
    <row r="39" spans="1:20" s="180" customFormat="1" ht="99" x14ac:dyDescent="0.3">
      <c r="A39" s="654"/>
      <c r="B39" s="663"/>
      <c r="C39" s="17" t="s">
        <v>14</v>
      </c>
      <c r="D39" s="259" t="s">
        <v>495</v>
      </c>
      <c r="E39" s="357" t="s">
        <v>38</v>
      </c>
      <c r="F39" s="179">
        <v>0</v>
      </c>
      <c r="G39" s="179">
        <v>0</v>
      </c>
      <c r="H39" s="358">
        <v>100</v>
      </c>
      <c r="I39" s="260"/>
      <c r="J39" s="17" t="str">
        <f t="shared" si="4"/>
        <v>2.1.</v>
      </c>
      <c r="K39" s="361" t="s">
        <v>496</v>
      </c>
      <c r="L39" s="357" t="s">
        <v>38</v>
      </c>
      <c r="M39" s="357">
        <v>52</v>
      </c>
      <c r="N39" s="357">
        <v>52</v>
      </c>
      <c r="O39" s="358">
        <f t="shared" si="0"/>
        <v>100</v>
      </c>
      <c r="P39" s="265"/>
      <c r="Q39" s="353"/>
      <c r="R39" s="359"/>
      <c r="S39" s="666"/>
      <c r="T39" s="438"/>
    </row>
    <row r="40" spans="1:20" s="180" customFormat="1" ht="181.5" x14ac:dyDescent="0.3">
      <c r="A40" s="654"/>
      <c r="B40" s="663"/>
      <c r="C40" s="17" t="s">
        <v>15</v>
      </c>
      <c r="D40" s="259" t="s">
        <v>497</v>
      </c>
      <c r="E40" s="357" t="s">
        <v>38</v>
      </c>
      <c r="F40" s="357" t="s">
        <v>498</v>
      </c>
      <c r="G40" s="357" t="s">
        <v>498</v>
      </c>
      <c r="H40" s="179" t="s">
        <v>498</v>
      </c>
      <c r="I40" s="357"/>
      <c r="J40" s="17"/>
      <c r="K40" s="361"/>
      <c r="L40" s="357"/>
      <c r="M40" s="357"/>
      <c r="N40" s="357"/>
      <c r="O40" s="358"/>
      <c r="P40" s="265"/>
      <c r="Q40" s="353"/>
      <c r="R40" s="266"/>
      <c r="S40" s="666"/>
      <c r="T40" s="438"/>
    </row>
    <row r="41" spans="1:20" ht="33" x14ac:dyDescent="0.3">
      <c r="A41" s="654"/>
      <c r="B41" s="663"/>
      <c r="C41" s="357"/>
      <c r="D41" s="21" t="s">
        <v>6</v>
      </c>
      <c r="E41" s="30"/>
      <c r="F41" s="105"/>
      <c r="G41" s="106"/>
      <c r="H41" s="7"/>
      <c r="I41" s="7">
        <f>H39</f>
        <v>100</v>
      </c>
      <c r="J41" s="355"/>
      <c r="K41" s="21" t="s">
        <v>6</v>
      </c>
      <c r="L41" s="355"/>
      <c r="M41" s="355"/>
      <c r="N41" s="355"/>
      <c r="O41" s="7"/>
      <c r="P41" s="7">
        <f>O39</f>
        <v>100</v>
      </c>
      <c r="Q41" s="7">
        <f t="shared" si="5"/>
        <v>100</v>
      </c>
      <c r="R41" s="176" t="s">
        <v>31</v>
      </c>
      <c r="S41" s="660"/>
    </row>
    <row r="42" spans="1:20" s="180" customFormat="1" ht="129.75" customHeight="1" x14ac:dyDescent="0.3">
      <c r="A42" s="654"/>
      <c r="B42" s="663"/>
      <c r="C42" s="257" t="s">
        <v>28</v>
      </c>
      <c r="D42" s="22" t="s">
        <v>556</v>
      </c>
      <c r="E42" s="354"/>
      <c r="F42" s="203"/>
      <c r="G42" s="353"/>
      <c r="H42" s="353"/>
      <c r="I42" s="353"/>
      <c r="J42" s="257" t="str">
        <f t="shared" si="4"/>
        <v>III</v>
      </c>
      <c r="K42" s="22" t="str">
        <f>D42</f>
        <v>Реализация дополнительных образовательных программ спортивной подготовки по олимпийским видам спорта 
Прыжки на батуте (этап совершенствования спортивного мастерства)</v>
      </c>
      <c r="L42" s="357"/>
      <c r="M42" s="258"/>
      <c r="N42" s="258"/>
      <c r="O42" s="353"/>
      <c r="P42" s="265"/>
      <c r="Q42" s="353"/>
      <c r="R42" s="359"/>
      <c r="S42" s="666"/>
      <c r="T42" s="438"/>
    </row>
    <row r="43" spans="1:20" s="180" customFormat="1" ht="99" x14ac:dyDescent="0.3">
      <c r="A43" s="654"/>
      <c r="B43" s="663"/>
      <c r="C43" s="17" t="s">
        <v>29</v>
      </c>
      <c r="D43" s="259" t="s">
        <v>495</v>
      </c>
      <c r="E43" s="357" t="s">
        <v>38</v>
      </c>
      <c r="F43" s="179">
        <v>0</v>
      </c>
      <c r="G43" s="179">
        <v>0</v>
      </c>
      <c r="H43" s="358">
        <v>100</v>
      </c>
      <c r="I43" s="353"/>
      <c r="J43" s="17" t="str">
        <f t="shared" si="4"/>
        <v>3.1.</v>
      </c>
      <c r="K43" s="361" t="s">
        <v>496</v>
      </c>
      <c r="L43" s="357" t="s">
        <v>38</v>
      </c>
      <c r="M43" s="357">
        <v>2</v>
      </c>
      <c r="N43" s="357">
        <v>2</v>
      </c>
      <c r="O43" s="358">
        <f t="shared" si="0"/>
        <v>100</v>
      </c>
      <c r="P43" s="265"/>
      <c r="Q43" s="353"/>
      <c r="R43" s="267"/>
      <c r="S43" s="666"/>
      <c r="T43" s="438"/>
    </row>
    <row r="44" spans="1:20" s="180" customFormat="1" ht="181.5" x14ac:dyDescent="0.3">
      <c r="A44" s="654"/>
      <c r="B44" s="663"/>
      <c r="C44" s="17" t="s">
        <v>30</v>
      </c>
      <c r="D44" s="259" t="s">
        <v>497</v>
      </c>
      <c r="E44" s="357" t="s">
        <v>38</v>
      </c>
      <c r="F44" s="357" t="s">
        <v>498</v>
      </c>
      <c r="G44" s="357" t="s">
        <v>498</v>
      </c>
      <c r="H44" s="179" t="s">
        <v>498</v>
      </c>
      <c r="I44" s="357"/>
      <c r="J44" s="17"/>
      <c r="K44" s="361"/>
      <c r="L44" s="357"/>
      <c r="M44" s="357"/>
      <c r="N44" s="357"/>
      <c r="O44" s="358"/>
      <c r="P44" s="265"/>
      <c r="Q44" s="353"/>
      <c r="R44" s="267"/>
      <c r="S44" s="666"/>
      <c r="T44" s="438"/>
    </row>
    <row r="45" spans="1:20" ht="33" x14ac:dyDescent="0.3">
      <c r="A45" s="654"/>
      <c r="B45" s="663"/>
      <c r="C45" s="357"/>
      <c r="D45" s="21" t="s">
        <v>6</v>
      </c>
      <c r="E45" s="30"/>
      <c r="F45" s="105"/>
      <c r="G45" s="106"/>
      <c r="H45" s="7"/>
      <c r="I45" s="7">
        <f>H43</f>
        <v>100</v>
      </c>
      <c r="J45" s="355"/>
      <c r="K45" s="21" t="s">
        <v>6</v>
      </c>
      <c r="L45" s="355"/>
      <c r="M45" s="355"/>
      <c r="N45" s="355"/>
      <c r="O45" s="7"/>
      <c r="P45" s="7">
        <f>O43</f>
        <v>100</v>
      </c>
      <c r="Q45" s="7">
        <f t="shared" ref="Q45" si="6">(I45+P45)/2</f>
        <v>100</v>
      </c>
      <c r="R45" s="176" t="s">
        <v>31</v>
      </c>
      <c r="S45" s="660"/>
    </row>
    <row r="46" spans="1:20" s="180" customFormat="1" ht="124.5" customHeight="1" x14ac:dyDescent="0.3">
      <c r="A46" s="654"/>
      <c r="B46" s="663"/>
      <c r="C46" s="257" t="s">
        <v>42</v>
      </c>
      <c r="D46" s="22" t="s">
        <v>564</v>
      </c>
      <c r="E46" s="354"/>
      <c r="F46" s="203"/>
      <c r="G46" s="353"/>
      <c r="H46" s="353"/>
      <c r="I46" s="353"/>
      <c r="J46" s="257" t="str">
        <f t="shared" si="4"/>
        <v>IV</v>
      </c>
      <c r="K46" s="22" t="str">
        <f>D46</f>
        <v>Реализация дополнительных образовательных программ спортивной подготовки по олимпийским видам спорта 
Спортивная гимнастика (этап начальной подготовки)</v>
      </c>
      <c r="L46" s="357"/>
      <c r="M46" s="258"/>
      <c r="N46" s="258"/>
      <c r="O46" s="353"/>
      <c r="P46" s="265"/>
      <c r="Q46" s="353"/>
      <c r="R46" s="359"/>
      <c r="S46" s="666"/>
      <c r="T46" s="438"/>
    </row>
    <row r="47" spans="1:20" s="180" customFormat="1" ht="99" x14ac:dyDescent="0.3">
      <c r="A47" s="654"/>
      <c r="B47" s="663"/>
      <c r="C47" s="17" t="s">
        <v>43</v>
      </c>
      <c r="D47" s="259" t="s">
        <v>495</v>
      </c>
      <c r="E47" s="357" t="s">
        <v>38</v>
      </c>
      <c r="F47" s="179">
        <v>0</v>
      </c>
      <c r="G47" s="179">
        <v>0</v>
      </c>
      <c r="H47" s="358">
        <v>100</v>
      </c>
      <c r="I47" s="353"/>
      <c r="J47" s="17" t="str">
        <f t="shared" si="4"/>
        <v>4.1.</v>
      </c>
      <c r="K47" s="361" t="s">
        <v>496</v>
      </c>
      <c r="L47" s="357" t="s">
        <v>38</v>
      </c>
      <c r="M47" s="357">
        <v>48</v>
      </c>
      <c r="N47" s="357">
        <v>48</v>
      </c>
      <c r="O47" s="358">
        <f t="shared" si="0"/>
        <v>100</v>
      </c>
      <c r="P47" s="265"/>
      <c r="Q47" s="353"/>
      <c r="R47" s="359"/>
      <c r="S47" s="666"/>
      <c r="T47" s="438"/>
    </row>
    <row r="48" spans="1:20" s="180" customFormat="1" ht="181.5" x14ac:dyDescent="0.3">
      <c r="A48" s="654"/>
      <c r="B48" s="663"/>
      <c r="C48" s="17" t="s">
        <v>137</v>
      </c>
      <c r="D48" s="259" t="s">
        <v>497</v>
      </c>
      <c r="E48" s="357" t="s">
        <v>38</v>
      </c>
      <c r="F48" s="357" t="s">
        <v>498</v>
      </c>
      <c r="G48" s="357" t="s">
        <v>498</v>
      </c>
      <c r="H48" s="179" t="s">
        <v>498</v>
      </c>
      <c r="I48" s="357"/>
      <c r="J48" s="17"/>
      <c r="K48" s="361"/>
      <c r="L48" s="357"/>
      <c r="M48" s="357"/>
      <c r="N48" s="357"/>
      <c r="O48" s="358"/>
      <c r="P48" s="265"/>
      <c r="Q48" s="353"/>
      <c r="R48" s="266"/>
      <c r="S48" s="666"/>
      <c r="T48" s="438"/>
    </row>
    <row r="49" spans="1:20" ht="33" x14ac:dyDescent="0.3">
      <c r="A49" s="654"/>
      <c r="B49" s="663"/>
      <c r="C49" s="357"/>
      <c r="D49" s="21" t="s">
        <v>6</v>
      </c>
      <c r="E49" s="30"/>
      <c r="F49" s="105"/>
      <c r="G49" s="106"/>
      <c r="H49" s="7"/>
      <c r="I49" s="7">
        <f>H47</f>
        <v>100</v>
      </c>
      <c r="J49" s="355"/>
      <c r="K49" s="21" t="s">
        <v>6</v>
      </c>
      <c r="L49" s="355"/>
      <c r="M49" s="355"/>
      <c r="N49" s="355"/>
      <c r="O49" s="7"/>
      <c r="P49" s="7">
        <f>O47</f>
        <v>100</v>
      </c>
      <c r="Q49" s="7">
        <f t="shared" ref="Q49" si="7">(I49+P49)/2</f>
        <v>100</v>
      </c>
      <c r="R49" s="176" t="s">
        <v>31</v>
      </c>
      <c r="S49" s="660"/>
    </row>
    <row r="50" spans="1:20" s="180" customFormat="1" ht="132" x14ac:dyDescent="0.3">
      <c r="A50" s="654"/>
      <c r="B50" s="663"/>
      <c r="C50" s="257" t="s">
        <v>164</v>
      </c>
      <c r="D50" s="22" t="s">
        <v>506</v>
      </c>
      <c r="E50" s="354"/>
      <c r="F50" s="203"/>
      <c r="G50" s="353"/>
      <c r="H50" s="353"/>
      <c r="I50" s="353"/>
      <c r="J50" s="257" t="str">
        <f t="shared" si="4"/>
        <v>V</v>
      </c>
      <c r="K50" s="22" t="str">
        <f>D50</f>
        <v>Реализация дополнительных образовательных программ спортивной подготовки по олимпийским видам спорта 
Спортивная гимнастика (учебно-тренировочный этап (этап спортивной специализации))</v>
      </c>
      <c r="L50" s="357"/>
      <c r="M50" s="258"/>
      <c r="N50" s="258"/>
      <c r="O50" s="353"/>
      <c r="P50" s="265"/>
      <c r="Q50" s="353"/>
      <c r="R50" s="359"/>
      <c r="S50" s="666"/>
      <c r="T50" s="438"/>
    </row>
    <row r="51" spans="1:20" s="180" customFormat="1" ht="99" x14ac:dyDescent="0.3">
      <c r="A51" s="654"/>
      <c r="B51" s="663"/>
      <c r="C51" s="17" t="s">
        <v>165</v>
      </c>
      <c r="D51" s="259" t="s">
        <v>495</v>
      </c>
      <c r="E51" s="357" t="s">
        <v>38</v>
      </c>
      <c r="F51" s="179">
        <v>0</v>
      </c>
      <c r="G51" s="179">
        <v>0</v>
      </c>
      <c r="H51" s="358">
        <v>100</v>
      </c>
      <c r="I51" s="353"/>
      <c r="J51" s="17" t="str">
        <f t="shared" si="4"/>
        <v>5.1.</v>
      </c>
      <c r="K51" s="361" t="s">
        <v>496</v>
      </c>
      <c r="L51" s="357" t="s">
        <v>38</v>
      </c>
      <c r="M51" s="357">
        <v>64</v>
      </c>
      <c r="N51" s="357">
        <v>64</v>
      </c>
      <c r="O51" s="358">
        <f t="shared" si="0"/>
        <v>100</v>
      </c>
      <c r="P51" s="265"/>
      <c r="Q51" s="353"/>
      <c r="R51" s="266"/>
      <c r="S51" s="666"/>
      <c r="T51" s="438"/>
    </row>
    <row r="52" spans="1:20" s="180" customFormat="1" ht="181.5" x14ac:dyDescent="0.3">
      <c r="A52" s="654"/>
      <c r="B52" s="663"/>
      <c r="C52" s="17" t="s">
        <v>166</v>
      </c>
      <c r="D52" s="259" t="s">
        <v>497</v>
      </c>
      <c r="E52" s="357" t="s">
        <v>38</v>
      </c>
      <c r="F52" s="357" t="s">
        <v>498</v>
      </c>
      <c r="G52" s="357" t="s">
        <v>498</v>
      </c>
      <c r="H52" s="179" t="s">
        <v>498</v>
      </c>
      <c r="I52" s="357"/>
      <c r="J52" s="17"/>
      <c r="K52" s="361"/>
      <c r="L52" s="357"/>
      <c r="M52" s="357"/>
      <c r="N52" s="357"/>
      <c r="O52" s="358"/>
      <c r="P52" s="265"/>
      <c r="Q52" s="353"/>
      <c r="R52" s="266"/>
      <c r="S52" s="666"/>
      <c r="T52" s="438"/>
    </row>
    <row r="53" spans="1:20" ht="33" x14ac:dyDescent="0.3">
      <c r="A53" s="654"/>
      <c r="B53" s="663"/>
      <c r="C53" s="357"/>
      <c r="D53" s="21" t="s">
        <v>6</v>
      </c>
      <c r="E53" s="30"/>
      <c r="F53" s="105"/>
      <c r="G53" s="106"/>
      <c r="H53" s="7"/>
      <c r="I53" s="7">
        <f>H51</f>
        <v>100</v>
      </c>
      <c r="J53" s="355"/>
      <c r="K53" s="21" t="s">
        <v>6</v>
      </c>
      <c r="L53" s="355"/>
      <c r="M53" s="355"/>
      <c r="N53" s="355"/>
      <c r="O53" s="7"/>
      <c r="P53" s="7">
        <f>O51</f>
        <v>100</v>
      </c>
      <c r="Q53" s="7">
        <f t="shared" ref="Q53" si="8">(I53+P53)/2</f>
        <v>100</v>
      </c>
      <c r="R53" s="176" t="s">
        <v>31</v>
      </c>
      <c r="S53" s="660"/>
    </row>
    <row r="54" spans="1:20" ht="115.5" x14ac:dyDescent="0.3">
      <c r="A54" s="654"/>
      <c r="B54" s="663"/>
      <c r="C54" s="257" t="s">
        <v>170</v>
      </c>
      <c r="D54" s="22" t="s">
        <v>565</v>
      </c>
      <c r="E54" s="354"/>
      <c r="F54" s="203"/>
      <c r="G54" s="353"/>
      <c r="H54" s="353"/>
      <c r="I54" s="353"/>
      <c r="J54" s="58" t="s">
        <v>170</v>
      </c>
      <c r="K54" s="22" t="str">
        <f>D54</f>
        <v>Реализация дополнительных образовательных программ спортивной подготовки по олимпийским видам спорта 
Спортивная гимнастика  (этап совершенствования спортивного мастерства)</v>
      </c>
      <c r="L54" s="354"/>
      <c r="M54" s="354"/>
      <c r="N54" s="354"/>
      <c r="O54" s="353"/>
      <c r="P54" s="353"/>
      <c r="Q54" s="353"/>
      <c r="R54" s="359"/>
      <c r="S54" s="660"/>
    </row>
    <row r="55" spans="1:20" ht="99" x14ac:dyDescent="0.3">
      <c r="A55" s="654"/>
      <c r="B55" s="663"/>
      <c r="C55" s="17" t="s">
        <v>171</v>
      </c>
      <c r="D55" s="259" t="s">
        <v>495</v>
      </c>
      <c r="E55" s="357" t="s">
        <v>38</v>
      </c>
      <c r="F55" s="179">
        <v>0</v>
      </c>
      <c r="G55" s="179">
        <v>0</v>
      </c>
      <c r="H55" s="358">
        <v>100</v>
      </c>
      <c r="I55" s="353"/>
      <c r="J55" s="379" t="s">
        <v>566</v>
      </c>
      <c r="K55" s="361" t="s">
        <v>496</v>
      </c>
      <c r="L55" s="357" t="s">
        <v>38</v>
      </c>
      <c r="M55" s="357">
        <v>8</v>
      </c>
      <c r="N55" s="357">
        <v>8</v>
      </c>
      <c r="O55" s="358">
        <f t="shared" si="0"/>
        <v>100</v>
      </c>
      <c r="P55" s="353"/>
      <c r="Q55" s="353"/>
      <c r="R55" s="359"/>
      <c r="S55" s="660"/>
    </row>
    <row r="56" spans="1:20" ht="181.5" x14ac:dyDescent="0.3">
      <c r="A56" s="654"/>
      <c r="B56" s="663"/>
      <c r="C56" s="17" t="s">
        <v>172</v>
      </c>
      <c r="D56" s="259" t="s">
        <v>497</v>
      </c>
      <c r="E56" s="357" t="s">
        <v>38</v>
      </c>
      <c r="F56" s="357" t="s">
        <v>498</v>
      </c>
      <c r="G56" s="357" t="s">
        <v>498</v>
      </c>
      <c r="H56" s="179" t="s">
        <v>498</v>
      </c>
      <c r="I56" s="353"/>
      <c r="J56" s="354"/>
      <c r="K56" s="22"/>
      <c r="L56" s="354"/>
      <c r="M56" s="354"/>
      <c r="N56" s="354"/>
      <c r="O56" s="353"/>
      <c r="P56" s="353"/>
      <c r="Q56" s="353"/>
      <c r="R56" s="359"/>
      <c r="S56" s="660"/>
    </row>
    <row r="57" spans="1:20" ht="33" x14ac:dyDescent="0.3">
      <c r="A57" s="654"/>
      <c r="B57" s="663"/>
      <c r="C57" s="357"/>
      <c r="D57" s="21" t="s">
        <v>6</v>
      </c>
      <c r="E57" s="30"/>
      <c r="F57" s="105"/>
      <c r="G57" s="106"/>
      <c r="H57" s="7"/>
      <c r="I57" s="7">
        <f>H55</f>
        <v>100</v>
      </c>
      <c r="J57" s="355"/>
      <c r="K57" s="21" t="s">
        <v>6</v>
      </c>
      <c r="L57" s="355"/>
      <c r="M57" s="355"/>
      <c r="N57" s="355"/>
      <c r="O57" s="7"/>
      <c r="P57" s="7">
        <f>O55</f>
        <v>100</v>
      </c>
      <c r="Q57" s="7">
        <f t="shared" ref="Q57" si="9">(I57+P57)/2</f>
        <v>100</v>
      </c>
      <c r="R57" s="176" t="s">
        <v>31</v>
      </c>
      <c r="S57" s="660"/>
    </row>
    <row r="58" spans="1:20" s="180" customFormat="1" ht="115.5" x14ac:dyDescent="0.3">
      <c r="A58" s="654"/>
      <c r="B58" s="663"/>
      <c r="C58" s="257" t="s">
        <v>207</v>
      </c>
      <c r="D58" s="22" t="s">
        <v>507</v>
      </c>
      <c r="E58" s="354"/>
      <c r="F58" s="203"/>
      <c r="G58" s="353"/>
      <c r="H58" s="353"/>
      <c r="I58" s="353"/>
      <c r="J58" s="58" t="s">
        <v>207</v>
      </c>
      <c r="K58" s="22" t="str">
        <f>D58</f>
        <v xml:space="preserve">Реализация дополнительных образовательных программ спортивной подготовки по олимпийским видам спорта 
Художественная гимнастика (этап начальной подготовки)
</v>
      </c>
      <c r="L58" s="357"/>
      <c r="M58" s="258"/>
      <c r="N58" s="258"/>
      <c r="O58" s="353"/>
      <c r="P58" s="265"/>
      <c r="Q58" s="353"/>
      <c r="R58" s="359"/>
      <c r="S58" s="666"/>
      <c r="T58" s="438"/>
    </row>
    <row r="59" spans="1:20" s="180" customFormat="1" ht="99" x14ac:dyDescent="0.3">
      <c r="A59" s="654"/>
      <c r="B59" s="663"/>
      <c r="C59" s="17" t="s">
        <v>208</v>
      </c>
      <c r="D59" s="259" t="s">
        <v>495</v>
      </c>
      <c r="E59" s="357" t="s">
        <v>38</v>
      </c>
      <c r="F59" s="179">
        <v>0</v>
      </c>
      <c r="G59" s="179">
        <v>0</v>
      </c>
      <c r="H59" s="358">
        <v>100</v>
      </c>
      <c r="I59" s="353"/>
      <c r="J59" s="379" t="s">
        <v>567</v>
      </c>
      <c r="K59" s="361" t="s">
        <v>496</v>
      </c>
      <c r="L59" s="357" t="s">
        <v>38</v>
      </c>
      <c r="M59" s="357">
        <v>83</v>
      </c>
      <c r="N59" s="357">
        <v>83</v>
      </c>
      <c r="O59" s="358">
        <f t="shared" si="0"/>
        <v>100</v>
      </c>
      <c r="P59" s="265"/>
      <c r="Q59" s="353"/>
      <c r="R59" s="266"/>
      <c r="S59" s="666"/>
      <c r="T59" s="438"/>
    </row>
    <row r="60" spans="1:20" s="180" customFormat="1" ht="181.5" x14ac:dyDescent="0.3">
      <c r="A60" s="654"/>
      <c r="B60" s="663"/>
      <c r="C60" s="17" t="s">
        <v>212</v>
      </c>
      <c r="D60" s="259" t="s">
        <v>497</v>
      </c>
      <c r="E60" s="357" t="s">
        <v>38</v>
      </c>
      <c r="F60" s="357" t="s">
        <v>498</v>
      </c>
      <c r="G60" s="357" t="s">
        <v>498</v>
      </c>
      <c r="H60" s="179" t="s">
        <v>498</v>
      </c>
      <c r="I60" s="357"/>
      <c r="J60" s="17"/>
      <c r="K60" s="361"/>
      <c r="L60" s="357"/>
      <c r="M60" s="357"/>
      <c r="N60" s="357"/>
      <c r="O60" s="358"/>
      <c r="P60" s="265"/>
      <c r="Q60" s="353"/>
      <c r="R60" s="266"/>
      <c r="S60" s="666"/>
      <c r="T60" s="438"/>
    </row>
    <row r="61" spans="1:20" ht="64.5" customHeight="1" x14ac:dyDescent="0.3">
      <c r="A61" s="654"/>
      <c r="B61" s="663"/>
      <c r="C61" s="357"/>
      <c r="D61" s="21" t="s">
        <v>6</v>
      </c>
      <c r="E61" s="30"/>
      <c r="F61" s="105"/>
      <c r="G61" s="106"/>
      <c r="H61" s="7"/>
      <c r="I61" s="7">
        <f>H59</f>
        <v>100</v>
      </c>
      <c r="J61" s="355"/>
      <c r="K61" s="21" t="s">
        <v>6</v>
      </c>
      <c r="L61" s="355"/>
      <c r="M61" s="355"/>
      <c r="N61" s="355"/>
      <c r="O61" s="7"/>
      <c r="P61" s="7">
        <f>O59</f>
        <v>100</v>
      </c>
      <c r="Q61" s="7">
        <f t="shared" ref="Q61" si="10">(I61+P61)/2</f>
        <v>100</v>
      </c>
      <c r="R61" s="176" t="s">
        <v>31</v>
      </c>
      <c r="S61" s="660"/>
    </row>
    <row r="62" spans="1:20" s="180" customFormat="1" ht="132" x14ac:dyDescent="0.3">
      <c r="A62" s="654"/>
      <c r="B62" s="663"/>
      <c r="C62" s="257" t="s">
        <v>209</v>
      </c>
      <c r="D62" s="22" t="s">
        <v>508</v>
      </c>
      <c r="E62" s="354"/>
      <c r="F62" s="203"/>
      <c r="G62" s="353"/>
      <c r="H62" s="353"/>
      <c r="I62" s="353"/>
      <c r="J62" s="58" t="s">
        <v>209</v>
      </c>
      <c r="K62" s="22" t="str">
        <f>D62</f>
        <v>Реализация дополнительных образовательных программ спортивной подготовки по олимпийским видам спорта 
Художественная гимнастика (учебно-тренировочный этап (этап спортивной специализации))</v>
      </c>
      <c r="L62" s="357"/>
      <c r="M62" s="258"/>
      <c r="N62" s="258"/>
      <c r="O62" s="353"/>
      <c r="P62" s="265"/>
      <c r="Q62" s="353"/>
      <c r="R62" s="359"/>
      <c r="S62" s="666"/>
      <c r="T62" s="438"/>
    </row>
    <row r="63" spans="1:20" s="180" customFormat="1" ht="99" x14ac:dyDescent="0.3">
      <c r="A63" s="654"/>
      <c r="B63" s="663"/>
      <c r="C63" s="17" t="s">
        <v>210</v>
      </c>
      <c r="D63" s="259" t="s">
        <v>495</v>
      </c>
      <c r="E63" s="357" t="s">
        <v>38</v>
      </c>
      <c r="F63" s="179">
        <v>0</v>
      </c>
      <c r="G63" s="179">
        <v>0</v>
      </c>
      <c r="H63" s="358">
        <v>100</v>
      </c>
      <c r="I63" s="353"/>
      <c r="J63" s="379" t="s">
        <v>568</v>
      </c>
      <c r="K63" s="361" t="s">
        <v>496</v>
      </c>
      <c r="L63" s="357" t="s">
        <v>38</v>
      </c>
      <c r="M63" s="357">
        <v>60</v>
      </c>
      <c r="N63" s="357">
        <v>60</v>
      </c>
      <c r="O63" s="358">
        <f t="shared" si="0"/>
        <v>100</v>
      </c>
      <c r="P63" s="265"/>
      <c r="Q63" s="353"/>
      <c r="R63" s="266"/>
      <c r="S63" s="666"/>
      <c r="T63" s="438"/>
    </row>
    <row r="64" spans="1:20" s="180" customFormat="1" ht="181.5" x14ac:dyDescent="0.3">
      <c r="A64" s="654"/>
      <c r="B64" s="663"/>
      <c r="C64" s="17" t="s">
        <v>249</v>
      </c>
      <c r="D64" s="259" t="s">
        <v>497</v>
      </c>
      <c r="E64" s="357" t="s">
        <v>38</v>
      </c>
      <c r="F64" s="357" t="s">
        <v>498</v>
      </c>
      <c r="G64" s="357" t="s">
        <v>498</v>
      </c>
      <c r="H64" s="179" t="s">
        <v>498</v>
      </c>
      <c r="I64" s="357"/>
      <c r="J64" s="17"/>
      <c r="K64" s="361"/>
      <c r="L64" s="357"/>
      <c r="M64" s="357"/>
      <c r="N64" s="357"/>
      <c r="O64" s="358"/>
      <c r="P64" s="265"/>
      <c r="Q64" s="353"/>
      <c r="R64" s="266"/>
      <c r="S64" s="666"/>
      <c r="T64" s="438"/>
    </row>
    <row r="65" spans="1:20" ht="64.5" customHeight="1" x14ac:dyDescent="0.3">
      <c r="A65" s="654"/>
      <c r="B65" s="663"/>
      <c r="C65" s="357"/>
      <c r="D65" s="21" t="s">
        <v>6</v>
      </c>
      <c r="E65" s="30"/>
      <c r="F65" s="105"/>
      <c r="G65" s="106"/>
      <c r="H65" s="7"/>
      <c r="I65" s="7">
        <f>H63</f>
        <v>100</v>
      </c>
      <c r="J65" s="355"/>
      <c r="K65" s="21" t="s">
        <v>6</v>
      </c>
      <c r="L65" s="355"/>
      <c r="M65" s="355"/>
      <c r="N65" s="355"/>
      <c r="O65" s="7"/>
      <c r="P65" s="7">
        <f>O63</f>
        <v>100</v>
      </c>
      <c r="Q65" s="7">
        <f t="shared" ref="Q65" si="11">(I65+P65)/2</f>
        <v>100</v>
      </c>
      <c r="R65" s="176" t="s">
        <v>31</v>
      </c>
      <c r="S65" s="660"/>
    </row>
    <row r="66" spans="1:20" s="180" customFormat="1" ht="99" x14ac:dyDescent="0.3">
      <c r="A66" s="654"/>
      <c r="B66" s="663"/>
      <c r="C66" s="257" t="s">
        <v>357</v>
      </c>
      <c r="D66" s="22" t="s">
        <v>509</v>
      </c>
      <c r="E66" s="354"/>
      <c r="F66" s="203"/>
      <c r="G66" s="353"/>
      <c r="H66" s="353"/>
      <c r="I66" s="353"/>
      <c r="J66" s="257" t="s">
        <v>357</v>
      </c>
      <c r="K66" s="22" t="str">
        <f>D66</f>
        <v>Реализация дополнительных образовательных программ спортивной подготовки по неолимпийским видам спорта 
Спортивная акробатика (этап начальной подготовки)</v>
      </c>
      <c r="L66" s="357"/>
      <c r="M66" s="258"/>
      <c r="N66" s="258"/>
      <c r="O66" s="353"/>
      <c r="P66" s="265"/>
      <c r="Q66" s="353"/>
      <c r="R66" s="359"/>
      <c r="S66" s="666"/>
      <c r="T66" s="438"/>
    </row>
    <row r="67" spans="1:20" s="180" customFormat="1" ht="99" x14ac:dyDescent="0.3">
      <c r="A67" s="654"/>
      <c r="B67" s="663"/>
      <c r="C67" s="17" t="s">
        <v>358</v>
      </c>
      <c r="D67" s="259" t="s">
        <v>495</v>
      </c>
      <c r="E67" s="357" t="s">
        <v>38</v>
      </c>
      <c r="F67" s="179">
        <v>0</v>
      </c>
      <c r="G67" s="179">
        <v>0</v>
      </c>
      <c r="H67" s="358">
        <v>100</v>
      </c>
      <c r="I67" s="353"/>
      <c r="J67" s="17" t="s">
        <v>358</v>
      </c>
      <c r="K67" s="361" t="s">
        <v>496</v>
      </c>
      <c r="L67" s="357" t="s">
        <v>38</v>
      </c>
      <c r="M67" s="357">
        <v>43</v>
      </c>
      <c r="N67" s="357">
        <v>43</v>
      </c>
      <c r="O67" s="358">
        <f t="shared" si="0"/>
        <v>100</v>
      </c>
      <c r="P67" s="265"/>
      <c r="Q67" s="353"/>
      <c r="R67" s="266"/>
      <c r="S67" s="666"/>
      <c r="T67" s="438"/>
    </row>
    <row r="68" spans="1:20" s="180" customFormat="1" ht="181.5" x14ac:dyDescent="0.3">
      <c r="A68" s="654"/>
      <c r="B68" s="663"/>
      <c r="C68" s="17" t="s">
        <v>359</v>
      </c>
      <c r="D68" s="259" t="s">
        <v>497</v>
      </c>
      <c r="E68" s="357" t="s">
        <v>38</v>
      </c>
      <c r="F68" s="357" t="s">
        <v>498</v>
      </c>
      <c r="G68" s="357" t="s">
        <v>498</v>
      </c>
      <c r="H68" s="179" t="s">
        <v>498</v>
      </c>
      <c r="I68" s="357"/>
      <c r="J68" s="379"/>
      <c r="K68" s="361"/>
      <c r="L68" s="357"/>
      <c r="M68" s="357"/>
      <c r="N68" s="357"/>
      <c r="O68" s="358"/>
      <c r="P68" s="265"/>
      <c r="Q68" s="353"/>
      <c r="R68" s="266"/>
      <c r="S68" s="666"/>
      <c r="T68" s="438"/>
    </row>
    <row r="69" spans="1:20" ht="64.5" customHeight="1" x14ac:dyDescent="0.3">
      <c r="A69" s="654"/>
      <c r="B69" s="663"/>
      <c r="C69" s="357"/>
      <c r="D69" s="21" t="s">
        <v>6</v>
      </c>
      <c r="E69" s="30"/>
      <c r="F69" s="105"/>
      <c r="G69" s="106"/>
      <c r="H69" s="7"/>
      <c r="I69" s="7">
        <f>H67</f>
        <v>100</v>
      </c>
      <c r="J69" s="380"/>
      <c r="K69" s="21" t="s">
        <v>6</v>
      </c>
      <c r="L69" s="355"/>
      <c r="M69" s="355"/>
      <c r="N69" s="355"/>
      <c r="O69" s="7"/>
      <c r="P69" s="7">
        <f>O67</f>
        <v>100</v>
      </c>
      <c r="Q69" s="7">
        <f t="shared" ref="Q69" si="12">(I69+P69)/2</f>
        <v>100</v>
      </c>
      <c r="R69" s="176" t="s">
        <v>31</v>
      </c>
      <c r="S69" s="660"/>
    </row>
    <row r="70" spans="1:20" s="180" customFormat="1" ht="138" customHeight="1" x14ac:dyDescent="0.3">
      <c r="A70" s="654"/>
      <c r="B70" s="663"/>
      <c r="C70" s="257" t="s">
        <v>396</v>
      </c>
      <c r="D70" s="381" t="s">
        <v>569</v>
      </c>
      <c r="E70" s="354"/>
      <c r="F70" s="203"/>
      <c r="G70" s="353"/>
      <c r="H70" s="353"/>
      <c r="I70" s="353"/>
      <c r="J70" s="257" t="s">
        <v>396</v>
      </c>
      <c r="K70" s="22" t="str">
        <f>D70</f>
        <v>Реализация дополнительных образовательных программ спортивной подготовки по неолимпийским видам спорта 
Спортивная акробатика (учебно-тренировочный этап (этап спортивной специализации))</v>
      </c>
      <c r="L70" s="357"/>
      <c r="M70" s="258"/>
      <c r="N70" s="258"/>
      <c r="O70" s="353"/>
      <c r="P70" s="265"/>
      <c r="Q70" s="353"/>
      <c r="R70" s="359"/>
      <c r="S70" s="666"/>
      <c r="T70" s="438"/>
    </row>
    <row r="71" spans="1:20" s="180" customFormat="1" ht="99" x14ac:dyDescent="0.3">
      <c r="A71" s="654"/>
      <c r="B71" s="663"/>
      <c r="C71" s="70" t="s">
        <v>397</v>
      </c>
      <c r="D71" s="259" t="s">
        <v>495</v>
      </c>
      <c r="E71" s="357" t="s">
        <v>38</v>
      </c>
      <c r="F71" s="179">
        <v>0</v>
      </c>
      <c r="G71" s="179">
        <v>0</v>
      </c>
      <c r="H71" s="358">
        <v>100</v>
      </c>
      <c r="I71" s="353"/>
      <c r="J71" s="70" t="s">
        <v>397</v>
      </c>
      <c r="K71" s="361" t="s">
        <v>496</v>
      </c>
      <c r="L71" s="357" t="s">
        <v>38</v>
      </c>
      <c r="M71" s="357">
        <v>100</v>
      </c>
      <c r="N71" s="357">
        <v>100</v>
      </c>
      <c r="O71" s="358">
        <f t="shared" si="0"/>
        <v>100</v>
      </c>
      <c r="P71" s="265"/>
      <c r="Q71" s="353"/>
      <c r="R71" s="266"/>
      <c r="S71" s="666"/>
      <c r="T71" s="438"/>
    </row>
    <row r="72" spans="1:20" s="180" customFormat="1" ht="181.5" x14ac:dyDescent="0.3">
      <c r="A72" s="654"/>
      <c r="B72" s="663"/>
      <c r="C72" s="70" t="s">
        <v>429</v>
      </c>
      <c r="D72" s="259" t="s">
        <v>497</v>
      </c>
      <c r="E72" s="357" t="s">
        <v>38</v>
      </c>
      <c r="F72" s="357" t="s">
        <v>498</v>
      </c>
      <c r="G72" s="357" t="s">
        <v>498</v>
      </c>
      <c r="H72" s="179" t="s">
        <v>498</v>
      </c>
      <c r="I72" s="357"/>
      <c r="J72" s="379"/>
      <c r="K72" s="361"/>
      <c r="L72" s="357"/>
      <c r="M72" s="357"/>
      <c r="N72" s="357"/>
      <c r="O72" s="358"/>
      <c r="P72" s="265"/>
      <c r="Q72" s="353"/>
      <c r="R72" s="266"/>
      <c r="S72" s="666"/>
      <c r="T72" s="438"/>
    </row>
    <row r="73" spans="1:20" ht="54.75" customHeight="1" x14ac:dyDescent="0.3">
      <c r="A73" s="654"/>
      <c r="B73" s="663"/>
      <c r="C73" s="357"/>
      <c r="D73" s="21" t="s">
        <v>6</v>
      </c>
      <c r="E73" s="30"/>
      <c r="F73" s="105"/>
      <c r="G73" s="106"/>
      <c r="H73" s="7"/>
      <c r="I73" s="7">
        <f>H71</f>
        <v>100</v>
      </c>
      <c r="J73" s="380"/>
      <c r="K73" s="21" t="s">
        <v>6</v>
      </c>
      <c r="L73" s="355"/>
      <c r="M73" s="355"/>
      <c r="N73" s="355"/>
      <c r="O73" s="7"/>
      <c r="P73" s="7">
        <f>O71</f>
        <v>100</v>
      </c>
      <c r="Q73" s="7">
        <f t="shared" ref="Q73" si="13">(I73+P73)/2</f>
        <v>100</v>
      </c>
      <c r="R73" s="176" t="s">
        <v>31</v>
      </c>
      <c r="S73" s="660"/>
    </row>
    <row r="74" spans="1:20" ht="115.5" x14ac:dyDescent="0.3">
      <c r="A74" s="654"/>
      <c r="B74" s="663"/>
      <c r="C74" s="257" t="s">
        <v>395</v>
      </c>
      <c r="D74" s="22" t="s">
        <v>510</v>
      </c>
      <c r="E74" s="354"/>
      <c r="F74" s="203"/>
      <c r="G74" s="353"/>
      <c r="H74" s="353"/>
      <c r="I74" s="353"/>
      <c r="J74" s="257" t="s">
        <v>395</v>
      </c>
      <c r="K74" s="22" t="str">
        <f>D74</f>
        <v>Реализация дополнительных образовательных программ спортивной подготовки по неолимпийским видам спорта 
Спортивная акробатика (этап совершенствования спортивного мастерства)</v>
      </c>
      <c r="L74" s="357"/>
      <c r="M74" s="258"/>
      <c r="N74" s="258"/>
      <c r="O74" s="353"/>
      <c r="P74" s="265"/>
      <c r="Q74" s="353"/>
      <c r="R74" s="359"/>
      <c r="S74" s="666"/>
    </row>
    <row r="75" spans="1:20" ht="99" x14ac:dyDescent="0.3">
      <c r="A75" s="654"/>
      <c r="B75" s="663"/>
      <c r="C75" s="70" t="s">
        <v>402</v>
      </c>
      <c r="D75" s="259" t="s">
        <v>495</v>
      </c>
      <c r="E75" s="357" t="s">
        <v>38</v>
      </c>
      <c r="F75" s="179">
        <v>0</v>
      </c>
      <c r="G75" s="179">
        <v>0</v>
      </c>
      <c r="H75" s="358">
        <v>100</v>
      </c>
      <c r="I75" s="353"/>
      <c r="J75" s="70" t="s">
        <v>402</v>
      </c>
      <c r="K75" s="361" t="s">
        <v>496</v>
      </c>
      <c r="L75" s="357" t="s">
        <v>38</v>
      </c>
      <c r="M75" s="357">
        <v>18</v>
      </c>
      <c r="N75" s="357">
        <v>18</v>
      </c>
      <c r="O75" s="358">
        <f t="shared" si="0"/>
        <v>100</v>
      </c>
      <c r="P75" s="265"/>
      <c r="Q75" s="353"/>
      <c r="R75" s="266"/>
      <c r="S75" s="666"/>
    </row>
    <row r="76" spans="1:20" ht="181.5" x14ac:dyDescent="0.3">
      <c r="A76" s="654"/>
      <c r="B76" s="663"/>
      <c r="C76" s="70" t="s">
        <v>403</v>
      </c>
      <c r="D76" s="259" t="s">
        <v>497</v>
      </c>
      <c r="E76" s="357" t="s">
        <v>38</v>
      </c>
      <c r="F76" s="357" t="s">
        <v>498</v>
      </c>
      <c r="G76" s="357" t="s">
        <v>498</v>
      </c>
      <c r="H76" s="179" t="s">
        <v>498</v>
      </c>
      <c r="I76" s="357"/>
      <c r="J76" s="379"/>
      <c r="K76" s="361"/>
      <c r="L76" s="357"/>
      <c r="M76" s="357"/>
      <c r="N76" s="357"/>
      <c r="O76" s="358"/>
      <c r="P76" s="265"/>
      <c r="Q76" s="353"/>
      <c r="R76" s="266"/>
      <c r="S76" s="666"/>
    </row>
    <row r="77" spans="1:20" ht="69.75" customHeight="1" x14ac:dyDescent="0.3">
      <c r="A77" s="654"/>
      <c r="B77" s="663"/>
      <c r="D77" s="21" t="s">
        <v>6</v>
      </c>
      <c r="E77" s="30"/>
      <c r="F77" s="105"/>
      <c r="G77" s="106"/>
      <c r="H77" s="7"/>
      <c r="I77" s="7">
        <f>H75</f>
        <v>100</v>
      </c>
      <c r="J77" s="380"/>
      <c r="K77" s="21" t="s">
        <v>6</v>
      </c>
      <c r="L77" s="355"/>
      <c r="M77" s="355"/>
      <c r="N77" s="355"/>
      <c r="O77" s="7"/>
      <c r="P77" s="7">
        <f>O75</f>
        <v>100</v>
      </c>
      <c r="Q77" s="7">
        <f t="shared" ref="Q77" si="14">(I77+P77)/2</f>
        <v>100</v>
      </c>
      <c r="R77" s="176" t="s">
        <v>31</v>
      </c>
      <c r="S77" s="660"/>
    </row>
    <row r="78" spans="1:20" s="180" customFormat="1" ht="69.75" customHeight="1" x14ac:dyDescent="0.3">
      <c r="A78" s="654"/>
      <c r="B78" s="663"/>
      <c r="C78" s="257" t="s">
        <v>401</v>
      </c>
      <c r="D78" s="22" t="s">
        <v>502</v>
      </c>
      <c r="E78" s="357"/>
      <c r="F78" s="179"/>
      <c r="G78" s="358"/>
      <c r="H78" s="353"/>
      <c r="I78" s="353"/>
      <c r="J78" s="257" t="s">
        <v>401</v>
      </c>
      <c r="K78" s="22" t="str">
        <f>D78</f>
        <v xml:space="preserve">Реализация дополнительных общеразвивающих программ </v>
      </c>
      <c r="L78" s="357"/>
      <c r="M78" s="357"/>
      <c r="N78" s="357"/>
      <c r="O78" s="358"/>
      <c r="P78" s="265"/>
      <c r="Q78" s="353"/>
      <c r="R78" s="359"/>
      <c r="S78" s="666"/>
      <c r="T78" s="438"/>
    </row>
    <row r="79" spans="1:20" ht="32.25" customHeight="1" x14ac:dyDescent="0.3">
      <c r="A79" s="654"/>
      <c r="B79" s="663"/>
      <c r="C79" s="70"/>
      <c r="D79" s="361" t="s">
        <v>498</v>
      </c>
      <c r="E79" s="361" t="s">
        <v>498</v>
      </c>
      <c r="F79" s="361" t="s">
        <v>498</v>
      </c>
      <c r="G79" s="361" t="s">
        <v>498</v>
      </c>
      <c r="H79" s="179" t="s">
        <v>498</v>
      </c>
      <c r="I79" s="361"/>
      <c r="J79" s="70" t="s">
        <v>404</v>
      </c>
      <c r="K79" s="361" t="s">
        <v>203</v>
      </c>
      <c r="L79" s="357" t="s">
        <v>204</v>
      </c>
      <c r="M79" s="357">
        <v>11220</v>
      </c>
      <c r="N79" s="382">
        <v>10492</v>
      </c>
      <c r="O79" s="358">
        <f t="shared" si="0"/>
        <v>93.511586452762913</v>
      </c>
      <c r="P79" s="265"/>
      <c r="Q79" s="353"/>
      <c r="R79" s="266"/>
      <c r="S79" s="666"/>
    </row>
    <row r="80" spans="1:20" ht="33" x14ac:dyDescent="0.3">
      <c r="A80" s="654"/>
      <c r="B80" s="663"/>
      <c r="D80" s="21" t="s">
        <v>6</v>
      </c>
      <c r="E80" s="30"/>
      <c r="F80" s="105"/>
      <c r="G80" s="106"/>
      <c r="H80" s="7"/>
      <c r="I80" s="7"/>
      <c r="J80" s="380"/>
      <c r="K80" s="21" t="s">
        <v>6</v>
      </c>
      <c r="L80" s="355"/>
      <c r="M80" s="355"/>
      <c r="N80" s="355"/>
      <c r="O80" s="7"/>
      <c r="P80" s="7">
        <f>O79</f>
        <v>93.511586452762913</v>
      </c>
      <c r="Q80" s="7">
        <f>P80</f>
        <v>93.511586452762913</v>
      </c>
      <c r="R80" s="176" t="s">
        <v>361</v>
      </c>
      <c r="S80" s="660"/>
    </row>
    <row r="81" spans="1:19" ht="48.75" customHeight="1" x14ac:dyDescent="0.3">
      <c r="A81" s="654"/>
      <c r="B81" s="663"/>
      <c r="C81" s="257" t="s">
        <v>431</v>
      </c>
      <c r="D81" s="22" t="s">
        <v>306</v>
      </c>
      <c r="E81" s="357"/>
      <c r="F81" s="179"/>
      <c r="G81" s="358"/>
      <c r="H81" s="353"/>
      <c r="I81" s="353"/>
      <c r="J81" s="257" t="s">
        <v>431</v>
      </c>
      <c r="K81" s="22" t="str">
        <f>D81</f>
        <v>Организация мероприятий по подготовке спортивных сборных команд</v>
      </c>
      <c r="L81" s="357"/>
      <c r="M81" s="357"/>
      <c r="N81" s="357"/>
      <c r="O81" s="358"/>
      <c r="P81" s="265"/>
      <c r="Q81" s="353"/>
      <c r="R81" s="359"/>
      <c r="S81" s="666"/>
    </row>
    <row r="82" spans="1:19" ht="82.5" x14ac:dyDescent="0.3">
      <c r="A82" s="654"/>
      <c r="B82" s="663"/>
      <c r="C82" s="17" t="s">
        <v>432</v>
      </c>
      <c r="D82" s="361" t="s">
        <v>307</v>
      </c>
      <c r="E82" s="357" t="s">
        <v>25</v>
      </c>
      <c r="F82" s="179">
        <v>5</v>
      </c>
      <c r="G82" s="360">
        <v>44</v>
      </c>
      <c r="H82" s="358">
        <f>IF(G82/F82*100&gt;100,100,G82/F82*100)</f>
        <v>100</v>
      </c>
      <c r="I82" s="353"/>
      <c r="J82" s="17" t="s">
        <v>432</v>
      </c>
      <c r="K82" s="361" t="s">
        <v>400</v>
      </c>
      <c r="L82" s="357" t="s">
        <v>38</v>
      </c>
      <c r="M82" s="383">
        <v>166</v>
      </c>
      <c r="N82" s="383">
        <v>236</v>
      </c>
      <c r="O82" s="358">
        <f t="shared" ref="O82:O142" si="15">IF(N82/M82*100&gt;110,110,N82/M82*100)</f>
        <v>110</v>
      </c>
      <c r="P82" s="265"/>
      <c r="Q82" s="353"/>
      <c r="R82" s="266"/>
      <c r="S82" s="666"/>
    </row>
    <row r="83" spans="1:19" ht="59.25" customHeight="1" x14ac:dyDescent="0.3">
      <c r="A83" s="654"/>
      <c r="B83" s="663"/>
      <c r="C83" s="155"/>
      <c r="D83" s="21" t="s">
        <v>6</v>
      </c>
      <c r="E83" s="30"/>
      <c r="F83" s="100"/>
      <c r="G83" s="103"/>
      <c r="H83" s="7"/>
      <c r="I83" s="7">
        <f>H82</f>
        <v>100</v>
      </c>
      <c r="J83" s="384"/>
      <c r="K83" s="21" t="s">
        <v>6</v>
      </c>
      <c r="L83" s="30"/>
      <c r="M83" s="101"/>
      <c r="N83" s="101"/>
      <c r="O83" s="7"/>
      <c r="P83" s="7">
        <f>O82</f>
        <v>110</v>
      </c>
      <c r="Q83" s="7">
        <f t="shared" si="5"/>
        <v>105</v>
      </c>
      <c r="R83" s="176" t="s">
        <v>31</v>
      </c>
      <c r="S83" s="660"/>
    </row>
    <row r="84" spans="1:19" ht="49.5" x14ac:dyDescent="0.3">
      <c r="A84" s="654"/>
      <c r="B84" s="663"/>
      <c r="C84" s="257" t="s">
        <v>573</v>
      </c>
      <c r="D84" s="22" t="s">
        <v>511</v>
      </c>
      <c r="E84" s="354"/>
      <c r="F84" s="203"/>
      <c r="G84" s="37"/>
      <c r="H84" s="353"/>
      <c r="I84" s="353"/>
      <c r="J84" s="257" t="s">
        <v>573</v>
      </c>
      <c r="K84" s="22" t="str">
        <f>D84</f>
        <v>Организация физкультурно-спортивной работы по месту жительства граждан</v>
      </c>
      <c r="L84" s="354"/>
      <c r="M84" s="354"/>
      <c r="N84" s="354"/>
      <c r="O84" s="353"/>
      <c r="P84" s="353"/>
      <c r="Q84" s="353"/>
      <c r="R84" s="167"/>
      <c r="S84" s="666"/>
    </row>
    <row r="85" spans="1:19" ht="18.75" customHeight="1" x14ac:dyDescent="0.3">
      <c r="A85" s="654"/>
      <c r="B85" s="663"/>
      <c r="C85" s="17" t="s">
        <v>574</v>
      </c>
      <c r="D85" s="361" t="s">
        <v>51</v>
      </c>
      <c r="E85" s="357" t="s">
        <v>41</v>
      </c>
      <c r="F85" s="179">
        <v>3</v>
      </c>
      <c r="G85" s="179">
        <v>0</v>
      </c>
      <c r="H85" s="24">
        <v>100</v>
      </c>
      <c r="I85" s="353"/>
      <c r="J85" s="379" t="s">
        <v>574</v>
      </c>
      <c r="K85" s="361" t="s">
        <v>219</v>
      </c>
      <c r="L85" s="357" t="s">
        <v>36</v>
      </c>
      <c r="M85" s="357">
        <v>37</v>
      </c>
      <c r="N85" s="357">
        <v>37</v>
      </c>
      <c r="O85" s="358">
        <f t="shared" si="15"/>
        <v>100</v>
      </c>
      <c r="P85" s="354"/>
      <c r="Q85" s="353"/>
      <c r="R85" s="266"/>
      <c r="S85" s="666"/>
    </row>
    <row r="86" spans="1:19" ht="54.75" customHeight="1" x14ac:dyDescent="0.3">
      <c r="A86" s="655"/>
      <c r="B86" s="664"/>
      <c r="C86" s="155"/>
      <c r="D86" s="21" t="s">
        <v>6</v>
      </c>
      <c r="E86" s="30"/>
      <c r="F86" s="100"/>
      <c r="G86" s="103"/>
      <c r="H86" s="7"/>
      <c r="I86" s="7">
        <f>H85</f>
        <v>100</v>
      </c>
      <c r="J86" s="384"/>
      <c r="K86" s="21" t="s">
        <v>6</v>
      </c>
      <c r="L86" s="30"/>
      <c r="M86" s="101"/>
      <c r="N86" s="101"/>
      <c r="O86" s="7"/>
      <c r="P86" s="7">
        <f>O85</f>
        <v>100</v>
      </c>
      <c r="Q86" s="7">
        <f>(I86+P86)/2</f>
        <v>100</v>
      </c>
      <c r="R86" s="176" t="s">
        <v>31</v>
      </c>
      <c r="S86" s="661"/>
    </row>
    <row r="87" spans="1:19" ht="99" x14ac:dyDescent="0.3">
      <c r="A87" s="653" t="s">
        <v>69</v>
      </c>
      <c r="B87" s="662" t="s">
        <v>512</v>
      </c>
      <c r="C87" s="257" t="s">
        <v>12</v>
      </c>
      <c r="D87" s="22" t="s">
        <v>513</v>
      </c>
      <c r="E87" s="357"/>
      <c r="F87" s="179"/>
      <c r="G87" s="358"/>
      <c r="H87" s="353"/>
      <c r="I87" s="353"/>
      <c r="J87" s="58" t="s">
        <v>12</v>
      </c>
      <c r="K87" s="22" t="str">
        <f>D87</f>
        <v>Реализация дополнительных образовательных программ спортивной подготовки по олимпийским видам спорта 
Лыжные гонки (этап начальной подготовки)</v>
      </c>
      <c r="L87" s="357"/>
      <c r="M87" s="258"/>
      <c r="N87" s="258"/>
      <c r="O87" s="353"/>
      <c r="P87" s="158"/>
      <c r="Q87" s="353"/>
      <c r="R87" s="167"/>
      <c r="S87" s="668" t="s">
        <v>280</v>
      </c>
    </row>
    <row r="88" spans="1:19" ht="99" x14ac:dyDescent="0.3">
      <c r="A88" s="654"/>
      <c r="B88" s="663"/>
      <c r="C88" s="17" t="s">
        <v>7</v>
      </c>
      <c r="D88" s="259" t="s">
        <v>495</v>
      </c>
      <c r="E88" s="357" t="s">
        <v>38</v>
      </c>
      <c r="F88" s="179">
        <v>0</v>
      </c>
      <c r="G88" s="179">
        <v>0</v>
      </c>
      <c r="H88" s="358">
        <v>100</v>
      </c>
      <c r="I88" s="353"/>
      <c r="J88" s="379" t="s">
        <v>37</v>
      </c>
      <c r="K88" s="361" t="s">
        <v>496</v>
      </c>
      <c r="L88" s="357" t="s">
        <v>38</v>
      </c>
      <c r="M88" s="357">
        <v>74</v>
      </c>
      <c r="N88" s="357">
        <v>74</v>
      </c>
      <c r="O88" s="358">
        <f t="shared" si="15"/>
        <v>100</v>
      </c>
      <c r="P88" s="265"/>
      <c r="Q88" s="353"/>
      <c r="R88" s="266"/>
      <c r="S88" s="669"/>
    </row>
    <row r="89" spans="1:19" ht="181.5" x14ac:dyDescent="0.3">
      <c r="A89" s="654"/>
      <c r="B89" s="663"/>
      <c r="C89" s="17" t="s">
        <v>8</v>
      </c>
      <c r="D89" s="259" t="s">
        <v>497</v>
      </c>
      <c r="E89" s="357" t="s">
        <v>38</v>
      </c>
      <c r="F89" s="357" t="s">
        <v>498</v>
      </c>
      <c r="G89" s="357" t="s">
        <v>498</v>
      </c>
      <c r="H89" s="179" t="s">
        <v>498</v>
      </c>
      <c r="I89" s="357"/>
      <c r="J89" s="379"/>
      <c r="K89" s="361"/>
      <c r="L89" s="357"/>
      <c r="M89" s="357"/>
      <c r="N89" s="357"/>
      <c r="O89" s="358"/>
      <c r="P89" s="265"/>
      <c r="Q89" s="353"/>
      <c r="R89" s="266"/>
      <c r="S89" s="669"/>
    </row>
    <row r="90" spans="1:19" ht="33" x14ac:dyDescent="0.3">
      <c r="A90" s="654"/>
      <c r="B90" s="663"/>
      <c r="C90" s="357"/>
      <c r="D90" s="21" t="s">
        <v>6</v>
      </c>
      <c r="E90" s="30"/>
      <c r="F90" s="105"/>
      <c r="G90" s="106"/>
      <c r="H90" s="7"/>
      <c r="I90" s="7">
        <f>H88</f>
        <v>100</v>
      </c>
      <c r="J90" s="380"/>
      <c r="K90" s="21" t="s">
        <v>6</v>
      </c>
      <c r="L90" s="355"/>
      <c r="M90" s="355"/>
      <c r="N90" s="355"/>
      <c r="O90" s="7"/>
      <c r="P90" s="7">
        <f>O88</f>
        <v>100</v>
      </c>
      <c r="Q90" s="7">
        <f t="shared" ref="Q90" si="16">(I90+P90)/2</f>
        <v>100</v>
      </c>
      <c r="R90" s="176" t="s">
        <v>31</v>
      </c>
      <c r="S90" s="670"/>
    </row>
    <row r="91" spans="1:19" ht="115.5" x14ac:dyDescent="0.3">
      <c r="A91" s="654"/>
      <c r="B91" s="663"/>
      <c r="C91" s="257" t="s">
        <v>13</v>
      </c>
      <c r="D91" s="22" t="s">
        <v>514</v>
      </c>
      <c r="E91" s="357"/>
      <c r="F91" s="179"/>
      <c r="G91" s="358"/>
      <c r="H91" s="353"/>
      <c r="I91" s="353"/>
      <c r="J91" s="58" t="str">
        <f>C91</f>
        <v>II</v>
      </c>
      <c r="K91" s="22" t="str">
        <f>D91</f>
        <v>Реализация дополнительных образовательных программ спортивной подготовки по олимпийским видам спорта 
Лыжные гонки (учебно-тренировочный этап (этап спортивной специализации))</v>
      </c>
      <c r="L91" s="357"/>
      <c r="M91" s="258"/>
      <c r="N91" s="258"/>
      <c r="O91" s="353"/>
      <c r="P91" s="158"/>
      <c r="Q91" s="353"/>
      <c r="R91" s="167"/>
      <c r="S91" s="669"/>
    </row>
    <row r="92" spans="1:19" ht="99" x14ac:dyDescent="0.3">
      <c r="A92" s="654"/>
      <c r="B92" s="663"/>
      <c r="C92" s="17" t="s">
        <v>14</v>
      </c>
      <c r="D92" s="259" t="s">
        <v>495</v>
      </c>
      <c r="E92" s="357" t="s">
        <v>38</v>
      </c>
      <c r="F92" s="179">
        <v>0</v>
      </c>
      <c r="G92" s="179">
        <v>0</v>
      </c>
      <c r="H92" s="358">
        <v>100</v>
      </c>
      <c r="I92" s="353"/>
      <c r="J92" s="379" t="str">
        <f>C92</f>
        <v>2.1.</v>
      </c>
      <c r="K92" s="361" t="s">
        <v>496</v>
      </c>
      <c r="L92" s="357" t="s">
        <v>38</v>
      </c>
      <c r="M92" s="357">
        <v>35</v>
      </c>
      <c r="N92" s="357">
        <v>35</v>
      </c>
      <c r="O92" s="358">
        <f t="shared" si="15"/>
        <v>100</v>
      </c>
      <c r="P92" s="265"/>
      <c r="Q92" s="353"/>
      <c r="R92" s="266"/>
      <c r="S92" s="669"/>
    </row>
    <row r="93" spans="1:19" ht="181.5" x14ac:dyDescent="0.3">
      <c r="A93" s="654"/>
      <c r="B93" s="663"/>
      <c r="C93" s="17" t="s">
        <v>15</v>
      </c>
      <c r="D93" s="259" t="s">
        <v>497</v>
      </c>
      <c r="E93" s="357" t="s">
        <v>38</v>
      </c>
      <c r="F93" s="357" t="s">
        <v>498</v>
      </c>
      <c r="G93" s="357" t="s">
        <v>498</v>
      </c>
      <c r="H93" s="179" t="s">
        <v>498</v>
      </c>
      <c r="I93" s="357"/>
      <c r="J93" s="379"/>
      <c r="K93" s="361"/>
      <c r="L93" s="357"/>
      <c r="M93" s="357"/>
      <c r="N93" s="357"/>
      <c r="O93" s="358"/>
      <c r="P93" s="265"/>
      <c r="Q93" s="353"/>
      <c r="R93" s="266"/>
      <c r="S93" s="669"/>
    </row>
    <row r="94" spans="1:19" ht="33" x14ac:dyDescent="0.3">
      <c r="A94" s="654"/>
      <c r="B94" s="663"/>
      <c r="C94" s="357"/>
      <c r="D94" s="21" t="s">
        <v>6</v>
      </c>
      <c r="E94" s="30"/>
      <c r="F94" s="105"/>
      <c r="G94" s="106"/>
      <c r="H94" s="7"/>
      <c r="I94" s="7">
        <f>H92</f>
        <v>100</v>
      </c>
      <c r="J94" s="380"/>
      <c r="K94" s="21" t="s">
        <v>6</v>
      </c>
      <c r="L94" s="355"/>
      <c r="M94" s="355"/>
      <c r="N94" s="355"/>
      <c r="O94" s="7"/>
      <c r="P94" s="7">
        <f>O92</f>
        <v>100</v>
      </c>
      <c r="Q94" s="7">
        <f t="shared" ref="Q94" si="17">(I94+P94)/2</f>
        <v>100</v>
      </c>
      <c r="R94" s="176" t="s">
        <v>31</v>
      </c>
      <c r="S94" s="670"/>
    </row>
    <row r="95" spans="1:19" ht="99" x14ac:dyDescent="0.3">
      <c r="A95" s="654"/>
      <c r="B95" s="663"/>
      <c r="C95" s="257" t="s">
        <v>28</v>
      </c>
      <c r="D95" s="22" t="s">
        <v>515</v>
      </c>
      <c r="E95" s="354"/>
      <c r="F95" s="203"/>
      <c r="G95" s="353"/>
      <c r="H95" s="353"/>
      <c r="I95" s="353"/>
      <c r="J95" s="58" t="str">
        <f>C95</f>
        <v>III</v>
      </c>
      <c r="K95" s="22" t="str">
        <f>D95</f>
        <v>Реализация дополнительных образовательных программ спортивной подготовки по олимпийским видам спорта 
Легкая атлетика (этап начальной подготовки)</v>
      </c>
      <c r="L95" s="357"/>
      <c r="M95" s="358"/>
      <c r="N95" s="358"/>
      <c r="O95" s="353"/>
      <c r="P95" s="265"/>
      <c r="Q95" s="353"/>
      <c r="R95" s="167"/>
      <c r="S95" s="669"/>
    </row>
    <row r="96" spans="1:19" ht="99" x14ac:dyDescent="0.3">
      <c r="A96" s="654"/>
      <c r="B96" s="663"/>
      <c r="C96" s="17" t="s">
        <v>29</v>
      </c>
      <c r="D96" s="259" t="s">
        <v>495</v>
      </c>
      <c r="E96" s="357" t="s">
        <v>38</v>
      </c>
      <c r="F96" s="179">
        <v>0</v>
      </c>
      <c r="G96" s="179">
        <v>0</v>
      </c>
      <c r="H96" s="358">
        <v>100</v>
      </c>
      <c r="I96" s="353"/>
      <c r="J96" s="379" t="str">
        <f>C96</f>
        <v>3.1.</v>
      </c>
      <c r="K96" s="361" t="s">
        <v>496</v>
      </c>
      <c r="L96" s="357" t="s">
        <v>38</v>
      </c>
      <c r="M96" s="357">
        <v>242</v>
      </c>
      <c r="N96" s="357">
        <v>242</v>
      </c>
      <c r="O96" s="358">
        <f t="shared" si="15"/>
        <v>100</v>
      </c>
      <c r="P96" s="265"/>
      <c r="Q96" s="353"/>
      <c r="R96" s="266"/>
      <c r="S96" s="669"/>
    </row>
    <row r="97" spans="1:21" ht="181.5" x14ac:dyDescent="0.3">
      <c r="A97" s="654"/>
      <c r="B97" s="663"/>
      <c r="C97" s="17" t="s">
        <v>30</v>
      </c>
      <c r="D97" s="259" t="s">
        <v>497</v>
      </c>
      <c r="E97" s="357" t="s">
        <v>38</v>
      </c>
      <c r="F97" s="357" t="s">
        <v>498</v>
      </c>
      <c r="G97" s="357" t="s">
        <v>498</v>
      </c>
      <c r="H97" s="179" t="s">
        <v>498</v>
      </c>
      <c r="I97" s="357"/>
      <c r="J97" s="379"/>
      <c r="K97" s="361"/>
      <c r="L97" s="357"/>
      <c r="M97" s="357"/>
      <c r="N97" s="357"/>
      <c r="O97" s="358"/>
      <c r="P97" s="265"/>
      <c r="Q97" s="353"/>
      <c r="R97" s="266"/>
      <c r="S97" s="669"/>
    </row>
    <row r="98" spans="1:21" ht="33" x14ac:dyDescent="0.3">
      <c r="A98" s="654"/>
      <c r="B98" s="663"/>
      <c r="C98" s="357"/>
      <c r="D98" s="21" t="s">
        <v>6</v>
      </c>
      <c r="E98" s="30"/>
      <c r="F98" s="105"/>
      <c r="G98" s="106"/>
      <c r="H98" s="7"/>
      <c r="I98" s="7">
        <f>H96</f>
        <v>100</v>
      </c>
      <c r="J98" s="380"/>
      <c r="K98" s="21" t="s">
        <v>6</v>
      </c>
      <c r="L98" s="355"/>
      <c r="M98" s="355"/>
      <c r="N98" s="355"/>
      <c r="O98" s="7"/>
      <c r="P98" s="7">
        <f>O96</f>
        <v>100</v>
      </c>
      <c r="Q98" s="7">
        <f t="shared" ref="Q98" si="18">(I98+P98)/2</f>
        <v>100</v>
      </c>
      <c r="R98" s="176" t="s">
        <v>31</v>
      </c>
      <c r="S98" s="670"/>
    </row>
    <row r="99" spans="1:21" ht="115.5" x14ac:dyDescent="0.3">
      <c r="A99" s="654"/>
      <c r="B99" s="663"/>
      <c r="C99" s="354" t="s">
        <v>42</v>
      </c>
      <c r="D99" s="22" t="s">
        <v>516</v>
      </c>
      <c r="E99" s="354"/>
      <c r="F99" s="203"/>
      <c r="G99" s="353"/>
      <c r="H99" s="353"/>
      <c r="I99" s="353"/>
      <c r="J99" s="58" t="str">
        <f>C99</f>
        <v>IV</v>
      </c>
      <c r="K99" s="22" t="str">
        <f>D99</f>
        <v>Реализация дополнительных образовательных программ спортивной подготовки по олимпийским видам спорта 
Легкая атлетика (учебно-тренировочный этап (этап спортивной специализации))</v>
      </c>
      <c r="L99" s="357"/>
      <c r="M99" s="358"/>
      <c r="N99" s="358"/>
      <c r="O99" s="353"/>
      <c r="P99" s="265"/>
      <c r="Q99" s="353"/>
      <c r="R99" s="167"/>
      <c r="S99" s="669"/>
      <c r="U99" s="268"/>
    </row>
    <row r="100" spans="1:21" ht="99" x14ac:dyDescent="0.3">
      <c r="A100" s="654"/>
      <c r="B100" s="663"/>
      <c r="C100" s="17" t="s">
        <v>43</v>
      </c>
      <c r="D100" s="259" t="s">
        <v>495</v>
      </c>
      <c r="E100" s="357" t="s">
        <v>38</v>
      </c>
      <c r="F100" s="179">
        <v>0</v>
      </c>
      <c r="G100" s="179">
        <v>0</v>
      </c>
      <c r="H100" s="358">
        <v>100</v>
      </c>
      <c r="I100" s="353"/>
      <c r="J100" s="379" t="str">
        <f>C100</f>
        <v>4.1.</v>
      </c>
      <c r="K100" s="361" t="s">
        <v>496</v>
      </c>
      <c r="L100" s="357" t="s">
        <v>38</v>
      </c>
      <c r="M100" s="357">
        <v>123</v>
      </c>
      <c r="N100" s="357">
        <v>123</v>
      </c>
      <c r="O100" s="358">
        <f t="shared" si="15"/>
        <v>100</v>
      </c>
      <c r="P100" s="265"/>
      <c r="Q100" s="353"/>
      <c r="R100" s="266"/>
      <c r="S100" s="669"/>
      <c r="U100" s="150"/>
    </row>
    <row r="101" spans="1:21" ht="181.5" x14ac:dyDescent="0.3">
      <c r="A101" s="654"/>
      <c r="B101" s="663"/>
      <c r="C101" s="17" t="s">
        <v>137</v>
      </c>
      <c r="D101" s="259" t="s">
        <v>497</v>
      </c>
      <c r="E101" s="357" t="s">
        <v>38</v>
      </c>
      <c r="F101" s="357" t="s">
        <v>498</v>
      </c>
      <c r="G101" s="357" t="s">
        <v>498</v>
      </c>
      <c r="H101" s="179" t="s">
        <v>498</v>
      </c>
      <c r="I101" s="357"/>
      <c r="J101" s="379"/>
      <c r="K101" s="361"/>
      <c r="L101" s="357"/>
      <c r="M101" s="357"/>
      <c r="N101" s="357"/>
      <c r="O101" s="358"/>
      <c r="P101" s="265"/>
      <c r="Q101" s="353"/>
      <c r="R101" s="266"/>
      <c r="S101" s="669"/>
      <c r="U101" s="150"/>
    </row>
    <row r="102" spans="1:21" ht="33" x14ac:dyDescent="0.3">
      <c r="A102" s="654"/>
      <c r="B102" s="663"/>
      <c r="C102" s="357"/>
      <c r="D102" s="21" t="s">
        <v>6</v>
      </c>
      <c r="E102" s="30"/>
      <c r="F102" s="105"/>
      <c r="G102" s="106"/>
      <c r="H102" s="7"/>
      <c r="I102" s="7">
        <f>H100</f>
        <v>100</v>
      </c>
      <c r="J102" s="380"/>
      <c r="K102" s="21" t="s">
        <v>6</v>
      </c>
      <c r="L102" s="355"/>
      <c r="M102" s="355"/>
      <c r="N102" s="355"/>
      <c r="O102" s="7"/>
      <c r="P102" s="7">
        <f>O100</f>
        <v>100</v>
      </c>
      <c r="Q102" s="7">
        <f t="shared" ref="Q102:Q116" si="19">(I102+P102)/2</f>
        <v>100</v>
      </c>
      <c r="R102" s="176" t="s">
        <v>31</v>
      </c>
      <c r="S102" s="670"/>
      <c r="U102" s="268"/>
    </row>
    <row r="103" spans="1:21" ht="99" x14ac:dyDescent="0.3">
      <c r="A103" s="654"/>
      <c r="B103" s="663"/>
      <c r="C103" s="354" t="s">
        <v>164</v>
      </c>
      <c r="D103" s="22" t="s">
        <v>517</v>
      </c>
      <c r="E103" s="354"/>
      <c r="F103" s="203"/>
      <c r="G103" s="353"/>
      <c r="H103" s="353"/>
      <c r="I103" s="353"/>
      <c r="J103" s="58" t="str">
        <f>C103</f>
        <v>V</v>
      </c>
      <c r="K103" s="22" t="str">
        <f>D103</f>
        <v>Реализация дополнительных образовательных программ спортивной подготовки по олимпийским видам спорта 
Фехтование (этап начальной подготовки)</v>
      </c>
      <c r="L103" s="357"/>
      <c r="M103" s="258"/>
      <c r="N103" s="258"/>
      <c r="O103" s="353"/>
      <c r="P103" s="265"/>
      <c r="Q103" s="353"/>
      <c r="R103" s="167"/>
      <c r="S103" s="669"/>
      <c r="U103" s="269"/>
    </row>
    <row r="104" spans="1:21" ht="99" x14ac:dyDescent="0.3">
      <c r="A104" s="654"/>
      <c r="B104" s="663"/>
      <c r="C104" s="17" t="s">
        <v>165</v>
      </c>
      <c r="D104" s="259" t="s">
        <v>495</v>
      </c>
      <c r="E104" s="357" t="s">
        <v>38</v>
      </c>
      <c r="F104" s="179">
        <v>0</v>
      </c>
      <c r="G104" s="179">
        <v>0</v>
      </c>
      <c r="H104" s="358">
        <v>100</v>
      </c>
      <c r="I104" s="353"/>
      <c r="J104" s="379" t="str">
        <f>C104</f>
        <v>5.1.</v>
      </c>
      <c r="K104" s="361" t="s">
        <v>496</v>
      </c>
      <c r="L104" s="357" t="s">
        <v>38</v>
      </c>
      <c r="M104" s="357">
        <v>56</v>
      </c>
      <c r="N104" s="357">
        <v>56</v>
      </c>
      <c r="O104" s="358">
        <f t="shared" si="15"/>
        <v>100</v>
      </c>
      <c r="P104" s="265"/>
      <c r="Q104" s="353"/>
      <c r="R104" s="266"/>
      <c r="S104" s="669"/>
      <c r="U104" s="268"/>
    </row>
    <row r="105" spans="1:21" ht="181.5" x14ac:dyDescent="0.3">
      <c r="A105" s="654"/>
      <c r="B105" s="663"/>
      <c r="C105" s="17" t="s">
        <v>166</v>
      </c>
      <c r="D105" s="259" t="s">
        <v>497</v>
      </c>
      <c r="E105" s="357" t="s">
        <v>38</v>
      </c>
      <c r="F105" s="357" t="s">
        <v>498</v>
      </c>
      <c r="G105" s="357" t="s">
        <v>498</v>
      </c>
      <c r="H105" s="179" t="s">
        <v>498</v>
      </c>
      <c r="I105" s="357"/>
      <c r="J105" s="379"/>
      <c r="K105" s="361"/>
      <c r="L105" s="357"/>
      <c r="M105" s="357"/>
      <c r="N105" s="357"/>
      <c r="O105" s="358"/>
      <c r="P105" s="265"/>
      <c r="Q105" s="353"/>
      <c r="R105" s="266"/>
      <c r="S105" s="669"/>
      <c r="U105" s="268"/>
    </row>
    <row r="106" spans="1:21" ht="33" x14ac:dyDescent="0.3">
      <c r="A106" s="654"/>
      <c r="B106" s="663"/>
      <c r="C106" s="357"/>
      <c r="D106" s="21" t="s">
        <v>6</v>
      </c>
      <c r="E106" s="30"/>
      <c r="F106" s="105"/>
      <c r="G106" s="106"/>
      <c r="H106" s="7"/>
      <c r="I106" s="7">
        <f>H104</f>
        <v>100</v>
      </c>
      <c r="J106" s="380"/>
      <c r="K106" s="21" t="s">
        <v>6</v>
      </c>
      <c r="L106" s="355"/>
      <c r="M106" s="355"/>
      <c r="N106" s="355"/>
      <c r="O106" s="7"/>
      <c r="P106" s="7">
        <f>O104</f>
        <v>100</v>
      </c>
      <c r="Q106" s="7">
        <f t="shared" si="19"/>
        <v>100</v>
      </c>
      <c r="R106" s="176" t="s">
        <v>31</v>
      </c>
      <c r="S106" s="670"/>
    </row>
    <row r="107" spans="1:21" ht="115.5" x14ac:dyDescent="0.3">
      <c r="A107" s="654"/>
      <c r="B107" s="663"/>
      <c r="C107" s="257" t="s">
        <v>170</v>
      </c>
      <c r="D107" s="22" t="s">
        <v>518</v>
      </c>
      <c r="E107" s="354"/>
      <c r="F107" s="203"/>
      <c r="G107" s="353"/>
      <c r="H107" s="353"/>
      <c r="I107" s="353"/>
      <c r="J107" s="58" t="str">
        <f>C107</f>
        <v>VI</v>
      </c>
      <c r="K107" s="22" t="str">
        <f>D107</f>
        <v>Реализация дополнительных образовательных программ спортивной подготовки по олимпийским видам спорта 
Фехтование (учебно-тренировочный этап (этап спортивной специализации))</v>
      </c>
      <c r="L107" s="357"/>
      <c r="M107" s="258"/>
      <c r="N107" s="258"/>
      <c r="O107" s="353"/>
      <c r="P107" s="265"/>
      <c r="Q107" s="353"/>
      <c r="R107" s="167"/>
      <c r="S107" s="669"/>
      <c r="U107" s="269"/>
    </row>
    <row r="108" spans="1:21" ht="99" x14ac:dyDescent="0.3">
      <c r="A108" s="654"/>
      <c r="B108" s="663"/>
      <c r="C108" s="17" t="s">
        <v>171</v>
      </c>
      <c r="D108" s="259" t="s">
        <v>495</v>
      </c>
      <c r="E108" s="357" t="s">
        <v>38</v>
      </c>
      <c r="F108" s="179">
        <v>0</v>
      </c>
      <c r="G108" s="179">
        <v>0</v>
      </c>
      <c r="H108" s="358">
        <v>100</v>
      </c>
      <c r="I108" s="353"/>
      <c r="J108" s="379" t="str">
        <f>C108</f>
        <v>6.1.</v>
      </c>
      <c r="K108" s="361" t="s">
        <v>496</v>
      </c>
      <c r="L108" s="357" t="s">
        <v>38</v>
      </c>
      <c r="M108" s="357">
        <v>28</v>
      </c>
      <c r="N108" s="357">
        <v>28</v>
      </c>
      <c r="O108" s="358">
        <f t="shared" si="15"/>
        <v>100</v>
      </c>
      <c r="P108" s="265"/>
      <c r="Q108" s="353"/>
      <c r="R108" s="266"/>
      <c r="S108" s="669"/>
      <c r="U108" s="268"/>
    </row>
    <row r="109" spans="1:21" ht="181.5" x14ac:dyDescent="0.3">
      <c r="A109" s="654"/>
      <c r="B109" s="663"/>
      <c r="C109" s="17" t="s">
        <v>172</v>
      </c>
      <c r="D109" s="259" t="s">
        <v>497</v>
      </c>
      <c r="E109" s="357" t="s">
        <v>38</v>
      </c>
      <c r="F109" s="357" t="s">
        <v>498</v>
      </c>
      <c r="G109" s="357" t="s">
        <v>498</v>
      </c>
      <c r="H109" s="179" t="s">
        <v>498</v>
      </c>
      <c r="I109" s="357"/>
      <c r="J109" s="379"/>
      <c r="K109" s="361"/>
      <c r="L109" s="357"/>
      <c r="M109" s="357"/>
      <c r="N109" s="357"/>
      <c r="O109" s="358"/>
      <c r="P109" s="265"/>
      <c r="Q109" s="353"/>
      <c r="R109" s="266"/>
      <c r="S109" s="669"/>
      <c r="U109" s="268"/>
    </row>
    <row r="110" spans="1:21" ht="33" x14ac:dyDescent="0.3">
      <c r="A110" s="654"/>
      <c r="B110" s="663"/>
      <c r="C110" s="357"/>
      <c r="D110" s="21" t="s">
        <v>6</v>
      </c>
      <c r="E110" s="30"/>
      <c r="F110" s="105"/>
      <c r="G110" s="106"/>
      <c r="H110" s="7"/>
      <c r="I110" s="7">
        <f>H108</f>
        <v>100</v>
      </c>
      <c r="J110" s="380"/>
      <c r="K110" s="21" t="s">
        <v>6</v>
      </c>
      <c r="L110" s="355"/>
      <c r="M110" s="355"/>
      <c r="N110" s="355"/>
      <c r="O110" s="7"/>
      <c r="P110" s="7">
        <f>O108</f>
        <v>100</v>
      </c>
      <c r="Q110" s="7">
        <f t="shared" ref="Q110" si="20">(I110+P110)/2</f>
        <v>100</v>
      </c>
      <c r="R110" s="176" t="s">
        <v>31</v>
      </c>
      <c r="S110" s="670"/>
    </row>
    <row r="111" spans="1:21" s="270" customFormat="1" ht="33" x14ac:dyDescent="0.3">
      <c r="A111" s="654"/>
      <c r="B111" s="663"/>
      <c r="C111" s="257" t="s">
        <v>207</v>
      </c>
      <c r="D111" s="22" t="s">
        <v>502</v>
      </c>
      <c r="E111" s="354"/>
      <c r="F111" s="203"/>
      <c r="G111" s="353"/>
      <c r="H111" s="353"/>
      <c r="I111" s="353"/>
      <c r="J111" s="58" t="str">
        <f>C111</f>
        <v>VII</v>
      </c>
      <c r="K111" s="22" t="str">
        <f>D111</f>
        <v xml:space="preserve">Реализация дополнительных общеразвивающих программ </v>
      </c>
      <c r="L111" s="354"/>
      <c r="M111" s="354"/>
      <c r="N111" s="354"/>
      <c r="O111" s="353"/>
      <c r="P111" s="265"/>
      <c r="Q111" s="353"/>
      <c r="R111" s="167"/>
      <c r="S111" s="669"/>
      <c r="T111" s="438"/>
      <c r="U111" s="269"/>
    </row>
    <row r="112" spans="1:21" x14ac:dyDescent="0.3">
      <c r="A112" s="654"/>
      <c r="B112" s="663"/>
      <c r="C112" s="17" t="s">
        <v>208</v>
      </c>
      <c r="D112" s="361" t="s">
        <v>498</v>
      </c>
      <c r="E112" s="361" t="s">
        <v>498</v>
      </c>
      <c r="F112" s="361" t="s">
        <v>498</v>
      </c>
      <c r="G112" s="361" t="s">
        <v>498</v>
      </c>
      <c r="H112" s="179" t="s">
        <v>498</v>
      </c>
      <c r="I112" s="361"/>
      <c r="J112" s="379" t="str">
        <f>C112</f>
        <v>7.1.</v>
      </c>
      <c r="K112" s="271" t="s">
        <v>203</v>
      </c>
      <c r="L112" s="357" t="s">
        <v>204</v>
      </c>
      <c r="M112" s="272">
        <v>15596</v>
      </c>
      <c r="N112" s="272">
        <v>15508</v>
      </c>
      <c r="O112" s="358">
        <f t="shared" si="15"/>
        <v>99.435752757117214</v>
      </c>
      <c r="P112" s="265"/>
      <c r="Q112" s="353"/>
      <c r="R112" s="266"/>
      <c r="S112" s="669"/>
      <c r="U112" s="268"/>
    </row>
    <row r="113" spans="1:21" ht="33" x14ac:dyDescent="0.3">
      <c r="A113" s="654"/>
      <c r="B113" s="663"/>
      <c r="C113" s="357"/>
      <c r="D113" s="21" t="s">
        <v>6</v>
      </c>
      <c r="E113" s="30"/>
      <c r="F113" s="105"/>
      <c r="G113" s="106"/>
      <c r="H113" s="7"/>
      <c r="I113" s="7" t="s">
        <v>555</v>
      </c>
      <c r="J113" s="380"/>
      <c r="K113" s="21" t="s">
        <v>6</v>
      </c>
      <c r="L113" s="355"/>
      <c r="M113" s="355"/>
      <c r="N113" s="355"/>
      <c r="O113" s="7"/>
      <c r="P113" s="7">
        <f>O112</f>
        <v>99.435752757117214</v>
      </c>
      <c r="Q113" s="7">
        <f>P113</f>
        <v>99.435752757117214</v>
      </c>
      <c r="R113" s="176" t="s">
        <v>361</v>
      </c>
      <c r="S113" s="670"/>
      <c r="U113" s="269"/>
    </row>
    <row r="114" spans="1:21" ht="49.5" x14ac:dyDescent="0.3">
      <c r="A114" s="654"/>
      <c r="B114" s="663"/>
      <c r="C114" s="257" t="s">
        <v>209</v>
      </c>
      <c r="D114" s="22" t="s">
        <v>306</v>
      </c>
      <c r="E114" s="354"/>
      <c r="F114" s="203"/>
      <c r="G114" s="353"/>
      <c r="H114" s="353"/>
      <c r="I114" s="353"/>
      <c r="J114" s="58" t="str">
        <f t="shared" ref="J114:J115" si="21">C114</f>
        <v>VIII</v>
      </c>
      <c r="K114" s="22" t="str">
        <f>D114</f>
        <v>Организация мероприятий по подготовке спортивных сборных команд</v>
      </c>
      <c r="L114" s="354"/>
      <c r="M114" s="354"/>
      <c r="N114" s="354"/>
      <c r="O114" s="353"/>
      <c r="P114" s="265"/>
      <c r="Q114" s="353"/>
      <c r="R114" s="167"/>
      <c r="S114" s="669"/>
      <c r="U114" s="268"/>
    </row>
    <row r="115" spans="1:21" ht="78.75" customHeight="1" x14ac:dyDescent="0.3">
      <c r="A115" s="654"/>
      <c r="B115" s="663"/>
      <c r="C115" s="17" t="s">
        <v>210</v>
      </c>
      <c r="D115" s="361" t="s">
        <v>307</v>
      </c>
      <c r="E115" s="357" t="s">
        <v>25</v>
      </c>
      <c r="F115" s="179">
        <v>5</v>
      </c>
      <c r="G115" s="358">
        <v>13.4</v>
      </c>
      <c r="H115" s="358">
        <f>IF(G115/F115*100&gt;100,100,G115/F115*100)</f>
        <v>100</v>
      </c>
      <c r="I115" s="353"/>
      <c r="J115" s="379" t="str">
        <f t="shared" si="21"/>
        <v>8.1.</v>
      </c>
      <c r="K115" s="361" t="s">
        <v>400</v>
      </c>
      <c r="L115" s="357" t="s">
        <v>38</v>
      </c>
      <c r="M115" s="272">
        <v>80</v>
      </c>
      <c r="N115" s="272">
        <v>83</v>
      </c>
      <c r="O115" s="358">
        <f t="shared" si="15"/>
        <v>103.75000000000001</v>
      </c>
      <c r="P115" s="265"/>
      <c r="Q115" s="353"/>
      <c r="R115" s="266"/>
      <c r="S115" s="669"/>
    </row>
    <row r="116" spans="1:21" ht="33" x14ac:dyDescent="0.3">
      <c r="A116" s="655"/>
      <c r="B116" s="664"/>
      <c r="C116" s="357"/>
      <c r="D116" s="21" t="s">
        <v>6</v>
      </c>
      <c r="E116" s="30"/>
      <c r="F116" s="105"/>
      <c r="G116" s="106"/>
      <c r="H116" s="7"/>
      <c r="I116" s="7">
        <f>H115</f>
        <v>100</v>
      </c>
      <c r="J116" s="380"/>
      <c r="K116" s="21" t="s">
        <v>6</v>
      </c>
      <c r="L116" s="355"/>
      <c r="M116" s="273"/>
      <c r="N116" s="273"/>
      <c r="O116" s="7"/>
      <c r="P116" s="7">
        <f>O115</f>
        <v>103.75000000000001</v>
      </c>
      <c r="Q116" s="7">
        <f t="shared" si="19"/>
        <v>101.875</v>
      </c>
      <c r="R116" s="176" t="s">
        <v>31</v>
      </c>
      <c r="S116" s="671"/>
    </row>
    <row r="117" spans="1:21" ht="115.5" x14ac:dyDescent="0.3">
      <c r="A117" s="653" t="s">
        <v>75</v>
      </c>
      <c r="B117" s="656" t="s">
        <v>519</v>
      </c>
      <c r="C117" s="257" t="s">
        <v>12</v>
      </c>
      <c r="D117" s="22" t="s">
        <v>520</v>
      </c>
      <c r="E117" s="357"/>
      <c r="F117" s="258"/>
      <c r="G117" s="358"/>
      <c r="H117" s="353"/>
      <c r="I117" s="353"/>
      <c r="J117" s="58" t="s">
        <v>12</v>
      </c>
      <c r="K117" s="22" t="str">
        <f>D117</f>
        <v xml:space="preserve">Реализация дополнительных образовательных программ спортивной подготовки по олимпийским видам спорта 
Прыжки на батуте (этап начальной подготовки)
</v>
      </c>
      <c r="L117" s="357"/>
      <c r="M117" s="258"/>
      <c r="N117" s="258"/>
      <c r="O117" s="353"/>
      <c r="P117" s="158"/>
      <c r="Q117" s="353"/>
      <c r="R117" s="167"/>
      <c r="S117" s="668" t="s">
        <v>279</v>
      </c>
    </row>
    <row r="118" spans="1:21" ht="99" x14ac:dyDescent="0.3">
      <c r="A118" s="654"/>
      <c r="B118" s="657"/>
      <c r="C118" s="17" t="s">
        <v>7</v>
      </c>
      <c r="D118" s="259" t="s">
        <v>495</v>
      </c>
      <c r="E118" s="357" t="s">
        <v>38</v>
      </c>
      <c r="F118" s="179">
        <v>0</v>
      </c>
      <c r="G118" s="179">
        <v>0</v>
      </c>
      <c r="H118" s="358">
        <v>100</v>
      </c>
      <c r="I118" s="353"/>
      <c r="J118" s="379" t="s">
        <v>37</v>
      </c>
      <c r="K118" s="361" t="s">
        <v>496</v>
      </c>
      <c r="L118" s="357" t="s">
        <v>38</v>
      </c>
      <c r="M118" s="179">
        <v>48</v>
      </c>
      <c r="N118" s="179">
        <v>48</v>
      </c>
      <c r="O118" s="358">
        <f t="shared" si="15"/>
        <v>100</v>
      </c>
      <c r="P118" s="265"/>
      <c r="Q118" s="353"/>
      <c r="R118" s="266"/>
      <c r="S118" s="669"/>
    </row>
    <row r="119" spans="1:21" ht="181.5" x14ac:dyDescent="0.3">
      <c r="A119" s="654"/>
      <c r="B119" s="657"/>
      <c r="C119" s="17" t="s">
        <v>8</v>
      </c>
      <c r="D119" s="259" t="s">
        <v>497</v>
      </c>
      <c r="E119" s="357" t="s">
        <v>38</v>
      </c>
      <c r="F119" s="357" t="s">
        <v>498</v>
      </c>
      <c r="G119" s="357" t="s">
        <v>498</v>
      </c>
      <c r="H119" s="179" t="s">
        <v>498</v>
      </c>
      <c r="I119" s="357"/>
      <c r="J119" s="379"/>
      <c r="K119" s="361"/>
      <c r="L119" s="357"/>
      <c r="M119" s="274"/>
      <c r="N119" s="274"/>
      <c r="O119" s="358"/>
      <c r="P119" s="265"/>
      <c r="Q119" s="353"/>
      <c r="R119" s="266"/>
      <c r="S119" s="669"/>
    </row>
    <row r="120" spans="1:21" ht="33" x14ac:dyDescent="0.3">
      <c r="A120" s="654"/>
      <c r="B120" s="657"/>
      <c r="C120" s="357"/>
      <c r="D120" s="21" t="s">
        <v>6</v>
      </c>
      <c r="E120" s="30"/>
      <c r="F120" s="105"/>
      <c r="G120" s="106"/>
      <c r="H120" s="7"/>
      <c r="I120" s="7">
        <f>H118</f>
        <v>100</v>
      </c>
      <c r="J120" s="380"/>
      <c r="K120" s="21" t="s">
        <v>6</v>
      </c>
      <c r="L120" s="355"/>
      <c r="M120" s="355"/>
      <c r="N120" s="355"/>
      <c r="O120" s="7"/>
      <c r="P120" s="7">
        <f>O118</f>
        <v>100</v>
      </c>
      <c r="Q120" s="7">
        <f t="shared" ref="Q120" si="22">(I120+P120)/2</f>
        <v>100</v>
      </c>
      <c r="R120" s="176" t="s">
        <v>31</v>
      </c>
      <c r="S120" s="670"/>
    </row>
    <row r="121" spans="1:21" ht="115.5" x14ac:dyDescent="0.3">
      <c r="A121" s="654"/>
      <c r="B121" s="657"/>
      <c r="C121" s="354" t="s">
        <v>13</v>
      </c>
      <c r="D121" s="22" t="s">
        <v>521</v>
      </c>
      <c r="E121" s="354"/>
      <c r="F121" s="203"/>
      <c r="G121" s="353"/>
      <c r="H121" s="353"/>
      <c r="I121" s="353"/>
      <c r="J121" s="58" t="s">
        <v>13</v>
      </c>
      <c r="K121" s="22" t="str">
        <f>D121</f>
        <v>Реализация дополнительных образовательных программ спортивной подготовки по олимпийским видам спорта 
Прыжки на батуте (учебно-тренировочный этап (этап спортивной специализации))</v>
      </c>
      <c r="L121" s="357"/>
      <c r="M121" s="358"/>
      <c r="N121" s="358"/>
      <c r="O121" s="353"/>
      <c r="P121" s="265"/>
      <c r="Q121" s="353"/>
      <c r="R121" s="167"/>
      <c r="S121" s="669"/>
    </row>
    <row r="122" spans="1:21" ht="99" x14ac:dyDescent="0.3">
      <c r="A122" s="654"/>
      <c r="B122" s="657"/>
      <c r="C122" s="17" t="s">
        <v>14</v>
      </c>
      <c r="D122" s="259" t="s">
        <v>495</v>
      </c>
      <c r="E122" s="357" t="s">
        <v>38</v>
      </c>
      <c r="F122" s="179">
        <v>0</v>
      </c>
      <c r="G122" s="179">
        <v>0</v>
      </c>
      <c r="H122" s="358">
        <v>100</v>
      </c>
      <c r="I122" s="353"/>
      <c r="J122" s="379" t="s">
        <v>205</v>
      </c>
      <c r="K122" s="361" t="s">
        <v>496</v>
      </c>
      <c r="L122" s="357" t="s">
        <v>38</v>
      </c>
      <c r="M122" s="179">
        <v>42</v>
      </c>
      <c r="N122" s="179">
        <v>42</v>
      </c>
      <c r="O122" s="358">
        <f t="shared" si="15"/>
        <v>100</v>
      </c>
      <c r="P122" s="265"/>
      <c r="Q122" s="353"/>
      <c r="R122" s="266"/>
      <c r="S122" s="669"/>
    </row>
    <row r="123" spans="1:21" ht="181.5" x14ac:dyDescent="0.3">
      <c r="A123" s="654"/>
      <c r="B123" s="657"/>
      <c r="C123" s="17" t="s">
        <v>15</v>
      </c>
      <c r="D123" s="259" t="s">
        <v>497</v>
      </c>
      <c r="E123" s="357" t="s">
        <v>38</v>
      </c>
      <c r="F123" s="357" t="s">
        <v>498</v>
      </c>
      <c r="G123" s="357" t="s">
        <v>498</v>
      </c>
      <c r="H123" s="179" t="s">
        <v>498</v>
      </c>
      <c r="I123" s="357"/>
      <c r="J123" s="379"/>
      <c r="K123" s="361"/>
      <c r="L123" s="357"/>
      <c r="M123" s="357"/>
      <c r="N123" s="357"/>
      <c r="O123" s="358"/>
      <c r="P123" s="265"/>
      <c r="Q123" s="353"/>
      <c r="R123" s="266"/>
      <c r="S123" s="669"/>
    </row>
    <row r="124" spans="1:21" ht="33" x14ac:dyDescent="0.3">
      <c r="A124" s="654"/>
      <c r="B124" s="657"/>
      <c r="C124" s="357"/>
      <c r="D124" s="21" t="s">
        <v>6</v>
      </c>
      <c r="E124" s="30"/>
      <c r="F124" s="105"/>
      <c r="G124" s="106"/>
      <c r="H124" s="7"/>
      <c r="I124" s="7">
        <f>H122</f>
        <v>100</v>
      </c>
      <c r="J124" s="380"/>
      <c r="K124" s="21" t="s">
        <v>6</v>
      </c>
      <c r="L124" s="355"/>
      <c r="M124" s="355"/>
      <c r="N124" s="355"/>
      <c r="O124" s="7"/>
      <c r="P124" s="7">
        <f>O122</f>
        <v>100</v>
      </c>
      <c r="Q124" s="7">
        <f t="shared" ref="Q124" si="23">(I124+P124)/2</f>
        <v>100</v>
      </c>
      <c r="R124" s="176" t="s">
        <v>31</v>
      </c>
      <c r="S124" s="670"/>
    </row>
    <row r="125" spans="1:21" ht="115.5" x14ac:dyDescent="0.3">
      <c r="A125" s="654"/>
      <c r="B125" s="657"/>
      <c r="C125" s="354" t="s">
        <v>28</v>
      </c>
      <c r="D125" s="22" t="s">
        <v>556</v>
      </c>
      <c r="E125" s="354"/>
      <c r="F125" s="203"/>
      <c r="G125" s="353"/>
      <c r="H125" s="353"/>
      <c r="I125" s="353"/>
      <c r="J125" s="58" t="str">
        <f t="shared" ref="J125:J126" si="24">C125</f>
        <v>III</v>
      </c>
      <c r="K125" s="22" t="str">
        <f>D125</f>
        <v>Реализация дополнительных образовательных программ спортивной подготовки по олимпийским видам спорта 
Прыжки на батуте (этап совершенствования спортивного мастерства)</v>
      </c>
      <c r="L125" s="357"/>
      <c r="M125" s="258"/>
      <c r="N125" s="258"/>
      <c r="O125" s="353"/>
      <c r="P125" s="265"/>
      <c r="Q125" s="353"/>
      <c r="R125" s="359"/>
      <c r="S125" s="669"/>
    </row>
    <row r="126" spans="1:21" ht="99" x14ac:dyDescent="0.3">
      <c r="A126" s="654"/>
      <c r="B126" s="657"/>
      <c r="C126" s="17" t="s">
        <v>29</v>
      </c>
      <c r="D126" s="259" t="s">
        <v>495</v>
      </c>
      <c r="E126" s="357" t="s">
        <v>38</v>
      </c>
      <c r="F126" s="179">
        <v>0</v>
      </c>
      <c r="G126" s="179">
        <v>0</v>
      </c>
      <c r="H126" s="358">
        <v>100</v>
      </c>
      <c r="I126" s="353"/>
      <c r="J126" s="379" t="str">
        <f t="shared" si="24"/>
        <v>3.1.</v>
      </c>
      <c r="K126" s="361" t="s">
        <v>496</v>
      </c>
      <c r="L126" s="357" t="s">
        <v>38</v>
      </c>
      <c r="M126" s="357">
        <v>1</v>
      </c>
      <c r="N126" s="357">
        <v>1</v>
      </c>
      <c r="O126" s="358">
        <f t="shared" si="15"/>
        <v>100</v>
      </c>
      <c r="P126" s="265"/>
      <c r="Q126" s="353"/>
      <c r="R126" s="266"/>
      <c r="S126" s="669"/>
    </row>
    <row r="127" spans="1:21" ht="181.5" x14ac:dyDescent="0.3">
      <c r="A127" s="654"/>
      <c r="B127" s="657"/>
      <c r="C127" s="17" t="s">
        <v>30</v>
      </c>
      <c r="D127" s="259" t="s">
        <v>497</v>
      </c>
      <c r="E127" s="357" t="s">
        <v>38</v>
      </c>
      <c r="F127" s="357" t="s">
        <v>498</v>
      </c>
      <c r="G127" s="357" t="s">
        <v>498</v>
      </c>
      <c r="H127" s="179" t="s">
        <v>498</v>
      </c>
      <c r="I127" s="357"/>
      <c r="J127" s="379"/>
      <c r="K127" s="361"/>
      <c r="L127" s="357"/>
      <c r="M127" s="357"/>
      <c r="N127" s="357"/>
      <c r="O127" s="358"/>
      <c r="P127" s="265"/>
      <c r="Q127" s="353"/>
      <c r="R127" s="266"/>
      <c r="S127" s="669"/>
    </row>
    <row r="128" spans="1:21" ht="33" x14ac:dyDescent="0.3">
      <c r="A128" s="654"/>
      <c r="B128" s="657"/>
      <c r="C128" s="357"/>
      <c r="D128" s="21" t="s">
        <v>6</v>
      </c>
      <c r="E128" s="30"/>
      <c r="F128" s="105"/>
      <c r="G128" s="106"/>
      <c r="H128" s="7"/>
      <c r="I128" s="7">
        <f>H126</f>
        <v>100</v>
      </c>
      <c r="J128" s="380"/>
      <c r="K128" s="21" t="s">
        <v>6</v>
      </c>
      <c r="L128" s="355"/>
      <c r="M128" s="355"/>
      <c r="N128" s="355"/>
      <c r="O128" s="7"/>
      <c r="P128" s="7">
        <f>O126</f>
        <v>100</v>
      </c>
      <c r="Q128" s="7">
        <f t="shared" ref="Q128" si="25">(I128+P128)/2</f>
        <v>100</v>
      </c>
      <c r="R128" s="176" t="s">
        <v>31</v>
      </c>
      <c r="S128" s="670"/>
    </row>
    <row r="129" spans="1:19" ht="99" x14ac:dyDescent="0.3">
      <c r="A129" s="654"/>
      <c r="B129" s="657"/>
      <c r="C129" s="354" t="s">
        <v>42</v>
      </c>
      <c r="D129" s="22" t="s">
        <v>522</v>
      </c>
      <c r="E129" s="354"/>
      <c r="F129" s="203"/>
      <c r="G129" s="353"/>
      <c r="H129" s="353"/>
      <c r="I129" s="353"/>
      <c r="J129" s="58" t="str">
        <f t="shared" ref="J129:J169" si="26">C129</f>
        <v>IV</v>
      </c>
      <c r="K129" s="22" t="s">
        <v>348</v>
      </c>
      <c r="L129" s="354"/>
      <c r="M129" s="203"/>
      <c r="N129" s="353"/>
      <c r="O129" s="353"/>
      <c r="P129" s="353"/>
      <c r="Q129" s="353"/>
      <c r="R129" s="167"/>
      <c r="S129" s="669"/>
    </row>
    <row r="130" spans="1:19" ht="99" x14ac:dyDescent="0.3">
      <c r="A130" s="654"/>
      <c r="B130" s="657"/>
      <c r="C130" s="17" t="s">
        <v>43</v>
      </c>
      <c r="D130" s="259" t="s">
        <v>495</v>
      </c>
      <c r="E130" s="357" t="s">
        <v>38</v>
      </c>
      <c r="F130" s="179">
        <v>0</v>
      </c>
      <c r="G130" s="179">
        <v>0</v>
      </c>
      <c r="H130" s="358">
        <v>100</v>
      </c>
      <c r="I130" s="353"/>
      <c r="J130" s="379" t="str">
        <f t="shared" si="26"/>
        <v>4.1.</v>
      </c>
      <c r="K130" s="361" t="s">
        <v>496</v>
      </c>
      <c r="L130" s="357" t="s">
        <v>38</v>
      </c>
      <c r="M130" s="179">
        <v>62</v>
      </c>
      <c r="N130" s="357">
        <v>62</v>
      </c>
      <c r="O130" s="358">
        <f t="shared" si="15"/>
        <v>100</v>
      </c>
      <c r="P130" s="265"/>
      <c r="Q130" s="353"/>
      <c r="R130" s="266"/>
      <c r="S130" s="669"/>
    </row>
    <row r="131" spans="1:19" ht="181.5" x14ac:dyDescent="0.3">
      <c r="A131" s="654"/>
      <c r="B131" s="657"/>
      <c r="C131" s="17" t="s">
        <v>137</v>
      </c>
      <c r="D131" s="259" t="s">
        <v>497</v>
      </c>
      <c r="E131" s="357" t="s">
        <v>38</v>
      </c>
      <c r="F131" s="357" t="s">
        <v>498</v>
      </c>
      <c r="G131" s="357" t="s">
        <v>498</v>
      </c>
      <c r="H131" s="179" t="s">
        <v>498</v>
      </c>
      <c r="I131" s="357"/>
      <c r="J131" s="379"/>
      <c r="K131" s="361"/>
      <c r="L131" s="357"/>
      <c r="M131" s="179"/>
      <c r="N131" s="357"/>
      <c r="O131" s="358"/>
      <c r="P131" s="265"/>
      <c r="Q131" s="353"/>
      <c r="R131" s="266"/>
      <c r="S131" s="669"/>
    </row>
    <row r="132" spans="1:19" ht="33" x14ac:dyDescent="0.3">
      <c r="A132" s="654"/>
      <c r="B132" s="657"/>
      <c r="C132" s="357"/>
      <c r="D132" s="21" t="s">
        <v>6</v>
      </c>
      <c r="E132" s="30"/>
      <c r="F132" s="105"/>
      <c r="G132" s="106"/>
      <c r="H132" s="7"/>
      <c r="I132" s="7">
        <f>H130</f>
        <v>100</v>
      </c>
      <c r="J132" s="380"/>
      <c r="K132" s="21" t="s">
        <v>6</v>
      </c>
      <c r="L132" s="355"/>
      <c r="M132" s="355"/>
      <c r="N132" s="355"/>
      <c r="O132" s="7"/>
      <c r="P132" s="7">
        <f>O130</f>
        <v>100</v>
      </c>
      <c r="Q132" s="7">
        <f t="shared" ref="Q132" si="27">(I132+P132)/2</f>
        <v>100</v>
      </c>
      <c r="R132" s="176" t="s">
        <v>31</v>
      </c>
      <c r="S132" s="670"/>
    </row>
    <row r="133" spans="1:19" ht="115.5" x14ac:dyDescent="0.3">
      <c r="A133" s="654"/>
      <c r="B133" s="657"/>
      <c r="C133" s="257" t="s">
        <v>164</v>
      </c>
      <c r="D133" s="22" t="s">
        <v>523</v>
      </c>
      <c r="E133" s="354"/>
      <c r="F133" s="203"/>
      <c r="G133" s="353"/>
      <c r="H133" s="353"/>
      <c r="I133" s="353"/>
      <c r="J133" s="58" t="str">
        <f t="shared" si="26"/>
        <v>V</v>
      </c>
      <c r="K133" s="22" t="str">
        <f>D133</f>
        <v>Реализация дополнительных образовательных программ спортивной подготовки по олимпийским видам спорта 
Бокс (учебно-тренировочный этап (этап спортивной специализации))</v>
      </c>
      <c r="L133" s="357"/>
      <c r="M133" s="358"/>
      <c r="N133" s="358"/>
      <c r="O133" s="353"/>
      <c r="P133" s="265"/>
      <c r="Q133" s="353"/>
      <c r="R133" s="167"/>
      <c r="S133" s="669"/>
    </row>
    <row r="134" spans="1:19" ht="99" x14ac:dyDescent="0.3">
      <c r="A134" s="654"/>
      <c r="B134" s="657"/>
      <c r="C134" s="17" t="s">
        <v>165</v>
      </c>
      <c r="D134" s="259" t="s">
        <v>495</v>
      </c>
      <c r="E134" s="357" t="s">
        <v>38</v>
      </c>
      <c r="F134" s="179">
        <v>0</v>
      </c>
      <c r="G134" s="179">
        <v>0</v>
      </c>
      <c r="H134" s="358">
        <v>100</v>
      </c>
      <c r="I134" s="353"/>
      <c r="J134" s="379" t="str">
        <f t="shared" si="26"/>
        <v>5.1.</v>
      </c>
      <c r="K134" s="361" t="s">
        <v>496</v>
      </c>
      <c r="L134" s="357" t="s">
        <v>38</v>
      </c>
      <c r="M134" s="357">
        <v>32</v>
      </c>
      <c r="N134" s="357">
        <v>32</v>
      </c>
      <c r="O134" s="358">
        <f t="shared" si="15"/>
        <v>100</v>
      </c>
      <c r="P134" s="265"/>
      <c r="Q134" s="353"/>
      <c r="R134" s="266"/>
      <c r="S134" s="669"/>
    </row>
    <row r="135" spans="1:19" ht="181.5" x14ac:dyDescent="0.3">
      <c r="A135" s="654"/>
      <c r="B135" s="657"/>
      <c r="C135" s="17" t="s">
        <v>166</v>
      </c>
      <c r="D135" s="259" t="s">
        <v>497</v>
      </c>
      <c r="E135" s="357" t="s">
        <v>38</v>
      </c>
      <c r="F135" s="357" t="s">
        <v>498</v>
      </c>
      <c r="G135" s="357" t="s">
        <v>498</v>
      </c>
      <c r="H135" s="179" t="s">
        <v>498</v>
      </c>
      <c r="I135" s="357"/>
      <c r="J135" s="379"/>
      <c r="K135" s="361"/>
      <c r="L135" s="357"/>
      <c r="M135" s="357"/>
      <c r="N135" s="357"/>
      <c r="O135" s="358"/>
      <c r="P135" s="265"/>
      <c r="Q135" s="353"/>
      <c r="R135" s="266"/>
      <c r="S135" s="669"/>
    </row>
    <row r="136" spans="1:19" ht="33" x14ac:dyDescent="0.3">
      <c r="A136" s="654"/>
      <c r="B136" s="657"/>
      <c r="C136" s="357"/>
      <c r="D136" s="21" t="s">
        <v>6</v>
      </c>
      <c r="E136" s="30"/>
      <c r="F136" s="105"/>
      <c r="G136" s="106"/>
      <c r="H136" s="7"/>
      <c r="I136" s="7">
        <f>H134</f>
        <v>100</v>
      </c>
      <c r="J136" s="380"/>
      <c r="K136" s="21" t="s">
        <v>6</v>
      </c>
      <c r="L136" s="355"/>
      <c r="M136" s="355"/>
      <c r="N136" s="355"/>
      <c r="O136" s="7"/>
      <c r="P136" s="7">
        <f>O134</f>
        <v>100</v>
      </c>
      <c r="Q136" s="7">
        <f t="shared" ref="Q136" si="28">(I136+P136)/2</f>
        <v>100</v>
      </c>
      <c r="R136" s="176" t="s">
        <v>31</v>
      </c>
      <c r="S136" s="670"/>
    </row>
    <row r="137" spans="1:19" ht="99" x14ac:dyDescent="0.3">
      <c r="A137" s="654"/>
      <c r="B137" s="657"/>
      <c r="C137" s="257" t="s">
        <v>170</v>
      </c>
      <c r="D137" s="22" t="s">
        <v>557</v>
      </c>
      <c r="E137" s="354"/>
      <c r="F137" s="203"/>
      <c r="G137" s="353"/>
      <c r="H137" s="353"/>
      <c r="I137" s="353"/>
      <c r="J137" s="58" t="str">
        <f t="shared" si="26"/>
        <v>VI</v>
      </c>
      <c r="K137" s="22" t="str">
        <f>D137</f>
        <v>Реализация дополнительных образовательных программ спортивной подготовки по олимпийским видам спорта 
Бокс (этап совершенствования спортивного мастерства)</v>
      </c>
      <c r="L137" s="357"/>
      <c r="M137" s="258"/>
      <c r="N137" s="258"/>
      <c r="O137" s="353"/>
      <c r="P137" s="265"/>
      <c r="Q137" s="353"/>
      <c r="R137" s="167"/>
      <c r="S137" s="669"/>
    </row>
    <row r="138" spans="1:19" ht="99" x14ac:dyDescent="0.3">
      <c r="A138" s="654"/>
      <c r="B138" s="657"/>
      <c r="C138" s="17" t="s">
        <v>171</v>
      </c>
      <c r="D138" s="259" t="s">
        <v>495</v>
      </c>
      <c r="E138" s="357" t="s">
        <v>38</v>
      </c>
      <c r="F138" s="179">
        <v>0</v>
      </c>
      <c r="G138" s="179">
        <v>0</v>
      </c>
      <c r="H138" s="358">
        <v>100</v>
      </c>
      <c r="I138" s="353"/>
      <c r="J138" s="379" t="str">
        <f t="shared" si="26"/>
        <v>6.1.</v>
      </c>
      <c r="K138" s="361" t="s">
        <v>496</v>
      </c>
      <c r="L138" s="357" t="s">
        <v>38</v>
      </c>
      <c r="M138" s="357">
        <v>4</v>
      </c>
      <c r="N138" s="357">
        <v>4</v>
      </c>
      <c r="O138" s="358">
        <f t="shared" si="15"/>
        <v>100</v>
      </c>
      <c r="P138" s="265"/>
      <c r="Q138" s="353"/>
      <c r="R138" s="266"/>
      <c r="S138" s="669"/>
    </row>
    <row r="139" spans="1:19" ht="181.5" x14ac:dyDescent="0.3">
      <c r="A139" s="654"/>
      <c r="B139" s="657"/>
      <c r="C139" s="17" t="s">
        <v>172</v>
      </c>
      <c r="D139" s="259" t="s">
        <v>497</v>
      </c>
      <c r="E139" s="357" t="s">
        <v>38</v>
      </c>
      <c r="F139" s="357" t="s">
        <v>498</v>
      </c>
      <c r="G139" s="357" t="s">
        <v>498</v>
      </c>
      <c r="H139" s="179" t="s">
        <v>498</v>
      </c>
      <c r="I139" s="357"/>
      <c r="J139" s="379"/>
      <c r="K139" s="361"/>
      <c r="L139" s="357"/>
      <c r="M139" s="357"/>
      <c r="N139" s="357"/>
      <c r="O139" s="358"/>
      <c r="P139" s="265"/>
      <c r="Q139" s="353"/>
      <c r="R139" s="266"/>
      <c r="S139" s="669"/>
    </row>
    <row r="140" spans="1:19" ht="33" x14ac:dyDescent="0.3">
      <c r="A140" s="654"/>
      <c r="B140" s="657"/>
      <c r="C140" s="357"/>
      <c r="D140" s="21" t="s">
        <v>6</v>
      </c>
      <c r="E140" s="30"/>
      <c r="F140" s="105"/>
      <c r="G140" s="106"/>
      <c r="H140" s="7"/>
      <c r="I140" s="7">
        <f>H138</f>
        <v>100</v>
      </c>
      <c r="J140" s="380"/>
      <c r="K140" s="21" t="s">
        <v>6</v>
      </c>
      <c r="L140" s="355"/>
      <c r="M140" s="355"/>
      <c r="N140" s="355"/>
      <c r="O140" s="7"/>
      <c r="P140" s="7">
        <f>O138</f>
        <v>100</v>
      </c>
      <c r="Q140" s="7">
        <f t="shared" ref="Q140" si="29">(I140+P140)/2</f>
        <v>100</v>
      </c>
      <c r="R140" s="176" t="s">
        <v>31</v>
      </c>
      <c r="S140" s="670"/>
    </row>
    <row r="141" spans="1:19" ht="99" x14ac:dyDescent="0.3">
      <c r="A141" s="654"/>
      <c r="B141" s="657"/>
      <c r="C141" s="257" t="s">
        <v>207</v>
      </c>
      <c r="D141" s="22" t="s">
        <v>524</v>
      </c>
      <c r="E141" s="354"/>
      <c r="F141" s="203"/>
      <c r="G141" s="353"/>
      <c r="H141" s="353"/>
      <c r="I141" s="353"/>
      <c r="J141" s="58" t="str">
        <f t="shared" si="26"/>
        <v>VII</v>
      </c>
      <c r="K141" s="22" t="str">
        <f>D141</f>
        <v>Реализация дополнительных образовательных программ спортивной подготовки по олимпийским видам спорта 
Спортивная борьба (этап начальной подготовки)</v>
      </c>
      <c r="L141" s="357"/>
      <c r="M141" s="258"/>
      <c r="N141" s="258"/>
      <c r="O141" s="353"/>
      <c r="P141" s="265"/>
      <c r="Q141" s="353"/>
      <c r="R141" s="167"/>
      <c r="S141" s="669"/>
    </row>
    <row r="142" spans="1:19" ht="99" x14ac:dyDescent="0.3">
      <c r="A142" s="654"/>
      <c r="B142" s="657"/>
      <c r="C142" s="17" t="s">
        <v>208</v>
      </c>
      <c r="D142" s="259" t="s">
        <v>495</v>
      </c>
      <c r="E142" s="357" t="s">
        <v>38</v>
      </c>
      <c r="F142" s="179">
        <v>0</v>
      </c>
      <c r="G142" s="179">
        <v>0</v>
      </c>
      <c r="H142" s="358">
        <v>100</v>
      </c>
      <c r="I142" s="353"/>
      <c r="J142" s="379" t="str">
        <f t="shared" si="26"/>
        <v>7.1.</v>
      </c>
      <c r="K142" s="361" t="s">
        <v>496</v>
      </c>
      <c r="L142" s="357" t="s">
        <v>38</v>
      </c>
      <c r="M142" s="357">
        <v>125</v>
      </c>
      <c r="N142" s="357">
        <v>125</v>
      </c>
      <c r="O142" s="358">
        <f t="shared" si="15"/>
        <v>100</v>
      </c>
      <c r="P142" s="265"/>
      <c r="Q142" s="353"/>
      <c r="R142" s="266"/>
      <c r="S142" s="669"/>
    </row>
    <row r="143" spans="1:19" ht="181.5" x14ac:dyDescent="0.3">
      <c r="A143" s="654"/>
      <c r="B143" s="657"/>
      <c r="C143" s="17" t="s">
        <v>212</v>
      </c>
      <c r="D143" s="259" t="s">
        <v>497</v>
      </c>
      <c r="E143" s="357" t="s">
        <v>38</v>
      </c>
      <c r="F143" s="357" t="s">
        <v>498</v>
      </c>
      <c r="G143" s="357" t="s">
        <v>498</v>
      </c>
      <c r="H143" s="179" t="s">
        <v>498</v>
      </c>
      <c r="I143" s="357"/>
      <c r="J143" s="379"/>
      <c r="K143" s="361"/>
      <c r="L143" s="357"/>
      <c r="M143" s="357"/>
      <c r="N143" s="357"/>
      <c r="O143" s="358"/>
      <c r="P143" s="265"/>
      <c r="Q143" s="353"/>
      <c r="R143" s="266"/>
      <c r="S143" s="669"/>
    </row>
    <row r="144" spans="1:19" ht="33" x14ac:dyDescent="0.3">
      <c r="A144" s="654"/>
      <c r="B144" s="657"/>
      <c r="C144" s="357"/>
      <c r="D144" s="21" t="s">
        <v>6</v>
      </c>
      <c r="E144" s="30"/>
      <c r="F144" s="105"/>
      <c r="G144" s="106"/>
      <c r="H144" s="7"/>
      <c r="I144" s="7">
        <f>H142</f>
        <v>100</v>
      </c>
      <c r="J144" s="380"/>
      <c r="K144" s="21" t="s">
        <v>6</v>
      </c>
      <c r="L144" s="355"/>
      <c r="M144" s="355"/>
      <c r="N144" s="355"/>
      <c r="O144" s="7"/>
      <c r="P144" s="7">
        <f>O142</f>
        <v>100</v>
      </c>
      <c r="Q144" s="7">
        <f t="shared" ref="Q144" si="30">(I144+P144)/2</f>
        <v>100</v>
      </c>
      <c r="R144" s="176" t="s">
        <v>31</v>
      </c>
      <c r="S144" s="670"/>
    </row>
    <row r="145" spans="1:22" ht="115.5" x14ac:dyDescent="0.3">
      <c r="A145" s="654"/>
      <c r="B145" s="657"/>
      <c r="C145" s="257" t="s">
        <v>209</v>
      </c>
      <c r="D145" s="22" t="s">
        <v>525</v>
      </c>
      <c r="E145" s="357"/>
      <c r="F145" s="258"/>
      <c r="G145" s="358"/>
      <c r="H145" s="353"/>
      <c r="I145" s="353"/>
      <c r="J145" s="58" t="str">
        <f>C145</f>
        <v>VIII</v>
      </c>
      <c r="K145" s="22" t="str">
        <f>D145</f>
        <v>Реализация дополнительных образовательных программ спортивной подготовки по олимпийским видам спорта 
Спортивная борьба (учебно-тренировочный этап (этап спортивной специализации))</v>
      </c>
      <c r="L145" s="357"/>
      <c r="M145" s="258"/>
      <c r="N145" s="258"/>
      <c r="O145" s="353"/>
      <c r="P145" s="158"/>
      <c r="Q145" s="353"/>
      <c r="R145" s="167"/>
      <c r="S145" s="669"/>
    </row>
    <row r="146" spans="1:22" ht="99" x14ac:dyDescent="0.3">
      <c r="A146" s="654"/>
      <c r="B146" s="657"/>
      <c r="C146" s="17" t="s">
        <v>210</v>
      </c>
      <c r="D146" s="259" t="s">
        <v>495</v>
      </c>
      <c r="E146" s="357" t="s">
        <v>38</v>
      </c>
      <c r="F146" s="179">
        <v>0</v>
      </c>
      <c r="G146" s="179">
        <v>0</v>
      </c>
      <c r="H146" s="358">
        <v>100</v>
      </c>
      <c r="I146" s="353"/>
      <c r="J146" s="379" t="str">
        <f>C146</f>
        <v>8.1.</v>
      </c>
      <c r="K146" s="361" t="s">
        <v>496</v>
      </c>
      <c r="L146" s="357" t="s">
        <v>38</v>
      </c>
      <c r="M146" s="357">
        <v>43</v>
      </c>
      <c r="N146" s="357">
        <v>43</v>
      </c>
      <c r="O146" s="358">
        <f t="shared" ref="O146:O218" si="31">IF(N146/M146*100&gt;110,110,N146/M146*100)</f>
        <v>100</v>
      </c>
      <c r="P146" s="265"/>
      <c r="Q146" s="353"/>
      <c r="R146" s="266"/>
      <c r="S146" s="669"/>
    </row>
    <row r="147" spans="1:22" ht="181.5" x14ac:dyDescent="0.3">
      <c r="A147" s="654"/>
      <c r="B147" s="657"/>
      <c r="C147" s="17" t="s">
        <v>249</v>
      </c>
      <c r="D147" s="259" t="s">
        <v>497</v>
      </c>
      <c r="E147" s="357" t="s">
        <v>38</v>
      </c>
      <c r="F147" s="357" t="s">
        <v>498</v>
      </c>
      <c r="G147" s="357" t="s">
        <v>498</v>
      </c>
      <c r="H147" s="179" t="s">
        <v>498</v>
      </c>
      <c r="I147" s="357"/>
      <c r="J147" s="379"/>
      <c r="K147" s="361"/>
      <c r="L147" s="357"/>
      <c r="M147" s="357"/>
      <c r="N147" s="357"/>
      <c r="O147" s="358"/>
      <c r="P147" s="265"/>
      <c r="Q147" s="353"/>
      <c r="R147" s="266"/>
      <c r="S147" s="669"/>
    </row>
    <row r="148" spans="1:22" ht="33" x14ac:dyDescent="0.3">
      <c r="A148" s="654"/>
      <c r="B148" s="657"/>
      <c r="C148" s="357"/>
      <c r="D148" s="21" t="s">
        <v>6</v>
      </c>
      <c r="E148" s="30"/>
      <c r="F148" s="105"/>
      <c r="G148" s="106"/>
      <c r="H148" s="7"/>
      <c r="I148" s="7">
        <f>H146</f>
        <v>100</v>
      </c>
      <c r="J148" s="380"/>
      <c r="K148" s="21" t="s">
        <v>6</v>
      </c>
      <c r="L148" s="355"/>
      <c r="M148" s="355"/>
      <c r="N148" s="355"/>
      <c r="O148" s="7"/>
      <c r="P148" s="7">
        <f>O146</f>
        <v>100</v>
      </c>
      <c r="Q148" s="7">
        <f t="shared" ref="Q148" si="32">(I148+P148)/2</f>
        <v>100</v>
      </c>
      <c r="R148" s="176" t="s">
        <v>31</v>
      </c>
      <c r="S148" s="670"/>
      <c r="V148" s="180"/>
    </row>
    <row r="149" spans="1:22" ht="99" x14ac:dyDescent="0.3">
      <c r="A149" s="654"/>
      <c r="B149" s="657"/>
      <c r="C149" s="257" t="s">
        <v>357</v>
      </c>
      <c r="D149" s="22" t="s">
        <v>542</v>
      </c>
      <c r="E149" s="354"/>
      <c r="F149" s="203"/>
      <c r="G149" s="353"/>
      <c r="H149" s="353"/>
      <c r="I149" s="353"/>
      <c r="J149" s="58" t="str">
        <f t="shared" ref="J149:J150" si="33">C149</f>
        <v>IX</v>
      </c>
      <c r="K149" s="22" t="str">
        <f>D149</f>
        <v>Реализация дополнительных образовательных программ спортивной подготовки по олимпийским видам спорта 
Плавание (этап начальной подготовки)</v>
      </c>
      <c r="L149" s="357"/>
      <c r="M149" s="258"/>
      <c r="N149" s="258"/>
      <c r="O149" s="353"/>
      <c r="P149" s="353"/>
      <c r="Q149" s="353"/>
      <c r="R149" s="359"/>
      <c r="S149" s="670"/>
      <c r="V149" s="180"/>
    </row>
    <row r="150" spans="1:22" ht="99" x14ac:dyDescent="0.3">
      <c r="A150" s="654"/>
      <c r="B150" s="657"/>
      <c r="C150" s="17" t="s">
        <v>358</v>
      </c>
      <c r="D150" s="259" t="s">
        <v>495</v>
      </c>
      <c r="E150" s="357" t="s">
        <v>38</v>
      </c>
      <c r="F150" s="179">
        <v>0</v>
      </c>
      <c r="G150" s="179">
        <v>0</v>
      </c>
      <c r="H150" s="358">
        <v>100</v>
      </c>
      <c r="I150" s="353"/>
      <c r="J150" s="379" t="str">
        <f t="shared" si="33"/>
        <v>9.1.</v>
      </c>
      <c r="K150" s="361" t="s">
        <v>496</v>
      </c>
      <c r="L150" s="357" t="s">
        <v>38</v>
      </c>
      <c r="M150" s="357">
        <v>80</v>
      </c>
      <c r="N150" s="357">
        <v>80</v>
      </c>
      <c r="O150" s="358">
        <f t="shared" ref="O150" si="34">IF(N150/M150*100&gt;110,110,N150/M150*100)</f>
        <v>100</v>
      </c>
      <c r="P150" s="353"/>
      <c r="Q150" s="353"/>
      <c r="R150" s="359"/>
      <c r="S150" s="670"/>
      <c r="V150" s="180"/>
    </row>
    <row r="151" spans="1:22" ht="181.5" x14ac:dyDescent="0.3">
      <c r="A151" s="654"/>
      <c r="B151" s="657"/>
      <c r="C151" s="17" t="s">
        <v>359</v>
      </c>
      <c r="D151" s="259" t="s">
        <v>497</v>
      </c>
      <c r="E151" s="357" t="s">
        <v>38</v>
      </c>
      <c r="F151" s="357" t="s">
        <v>498</v>
      </c>
      <c r="G151" s="357" t="s">
        <v>498</v>
      </c>
      <c r="H151" s="179" t="s">
        <v>498</v>
      </c>
      <c r="I151" s="357"/>
      <c r="J151" s="379"/>
      <c r="K151" s="361"/>
      <c r="L151" s="357"/>
      <c r="M151" s="357"/>
      <c r="N151" s="357"/>
      <c r="O151" s="358"/>
      <c r="P151" s="353"/>
      <c r="Q151" s="353"/>
      <c r="R151" s="359"/>
      <c r="S151" s="670"/>
      <c r="V151" s="180"/>
    </row>
    <row r="152" spans="1:22" ht="33" x14ac:dyDescent="0.3">
      <c r="A152" s="654"/>
      <c r="B152" s="657"/>
      <c r="C152" s="357"/>
      <c r="D152" s="21" t="s">
        <v>6</v>
      </c>
      <c r="E152" s="30"/>
      <c r="F152" s="105"/>
      <c r="G152" s="106"/>
      <c r="H152" s="7"/>
      <c r="I152" s="7">
        <f>H150</f>
        <v>100</v>
      </c>
      <c r="J152" s="380"/>
      <c r="K152" s="21" t="s">
        <v>6</v>
      </c>
      <c r="L152" s="355"/>
      <c r="M152" s="355"/>
      <c r="N152" s="355"/>
      <c r="O152" s="7"/>
      <c r="P152" s="7">
        <f>O150</f>
        <v>100</v>
      </c>
      <c r="Q152" s="7">
        <f t="shared" ref="Q152" si="35">(I152+P152)/2</f>
        <v>100</v>
      </c>
      <c r="R152" s="176" t="s">
        <v>31</v>
      </c>
      <c r="S152" s="670"/>
      <c r="V152" s="180"/>
    </row>
    <row r="153" spans="1:22" ht="115.5" x14ac:dyDescent="0.3">
      <c r="A153" s="654"/>
      <c r="B153" s="657"/>
      <c r="C153" s="257" t="s">
        <v>396</v>
      </c>
      <c r="D153" s="22" t="s">
        <v>526</v>
      </c>
      <c r="E153" s="357"/>
      <c r="F153" s="258"/>
      <c r="G153" s="358"/>
      <c r="H153" s="353"/>
      <c r="I153" s="353"/>
      <c r="J153" s="58" t="str">
        <f>C153</f>
        <v>X</v>
      </c>
      <c r="K153" s="22" t="str">
        <f>D153</f>
        <v>Реализация дополнительных образовательных программ спортивной подготовки по олимпийским видам спорта 
Плавание (учебно-тренировочный этап (этап спортивной специализации))</v>
      </c>
      <c r="L153" s="357"/>
      <c r="M153" s="258"/>
      <c r="N153" s="258"/>
      <c r="O153" s="353"/>
      <c r="P153" s="158"/>
      <c r="Q153" s="353"/>
      <c r="R153" s="167"/>
      <c r="S153" s="669"/>
      <c r="V153" s="269"/>
    </row>
    <row r="154" spans="1:22" ht="99" x14ac:dyDescent="0.3">
      <c r="A154" s="654"/>
      <c r="B154" s="657"/>
      <c r="C154" s="17" t="s">
        <v>397</v>
      </c>
      <c r="D154" s="259" t="s">
        <v>495</v>
      </c>
      <c r="E154" s="357" t="s">
        <v>38</v>
      </c>
      <c r="F154" s="179">
        <v>0</v>
      </c>
      <c r="G154" s="179">
        <v>0</v>
      </c>
      <c r="H154" s="358">
        <v>100</v>
      </c>
      <c r="I154" s="353"/>
      <c r="J154" s="379" t="str">
        <f>C154</f>
        <v>10.1.</v>
      </c>
      <c r="K154" s="361" t="s">
        <v>496</v>
      </c>
      <c r="L154" s="357" t="s">
        <v>38</v>
      </c>
      <c r="M154" s="357">
        <v>51</v>
      </c>
      <c r="N154" s="357">
        <v>51</v>
      </c>
      <c r="O154" s="358">
        <f t="shared" si="31"/>
        <v>100</v>
      </c>
      <c r="P154" s="265"/>
      <c r="Q154" s="353"/>
      <c r="R154" s="266"/>
      <c r="S154" s="669"/>
      <c r="V154" s="268"/>
    </row>
    <row r="155" spans="1:22" ht="181.5" x14ac:dyDescent="0.3">
      <c r="A155" s="654"/>
      <c r="B155" s="657"/>
      <c r="C155" s="17" t="s">
        <v>429</v>
      </c>
      <c r="D155" s="259" t="s">
        <v>497</v>
      </c>
      <c r="E155" s="357" t="s">
        <v>38</v>
      </c>
      <c r="F155" s="357" t="s">
        <v>498</v>
      </c>
      <c r="G155" s="357" t="s">
        <v>498</v>
      </c>
      <c r="H155" s="179" t="s">
        <v>498</v>
      </c>
      <c r="I155" s="357"/>
      <c r="J155" s="379"/>
      <c r="K155" s="361"/>
      <c r="L155" s="357"/>
      <c r="M155" s="357"/>
      <c r="N155" s="357"/>
      <c r="O155" s="358"/>
      <c r="P155" s="265"/>
      <c r="Q155" s="353"/>
      <c r="R155" s="266"/>
      <c r="S155" s="669"/>
      <c r="V155" s="268"/>
    </row>
    <row r="156" spans="1:22" ht="33" x14ac:dyDescent="0.3">
      <c r="A156" s="654"/>
      <c r="B156" s="657"/>
      <c r="C156" s="357"/>
      <c r="D156" s="21" t="s">
        <v>6</v>
      </c>
      <c r="E156" s="30"/>
      <c r="F156" s="105"/>
      <c r="G156" s="106"/>
      <c r="H156" s="7"/>
      <c r="I156" s="7">
        <f>H154</f>
        <v>100</v>
      </c>
      <c r="J156" s="380"/>
      <c r="K156" s="21" t="s">
        <v>6</v>
      </c>
      <c r="L156" s="355"/>
      <c r="M156" s="355"/>
      <c r="N156" s="355"/>
      <c r="O156" s="7"/>
      <c r="P156" s="7">
        <f>O154</f>
        <v>100</v>
      </c>
      <c r="Q156" s="7">
        <f t="shared" ref="Q156" si="36">(I156+P156)/2</f>
        <v>100</v>
      </c>
      <c r="R156" s="176" t="s">
        <v>31</v>
      </c>
      <c r="S156" s="670"/>
      <c r="V156" s="180"/>
    </row>
    <row r="157" spans="1:22" ht="99" x14ac:dyDescent="0.3">
      <c r="A157" s="654"/>
      <c r="B157" s="657"/>
      <c r="C157" s="257" t="s">
        <v>395</v>
      </c>
      <c r="D157" s="22" t="s">
        <v>570</v>
      </c>
      <c r="E157" s="357"/>
      <c r="F157" s="258"/>
      <c r="G157" s="358"/>
      <c r="H157" s="353"/>
      <c r="I157" s="353"/>
      <c r="J157" s="58" t="str">
        <f>C157</f>
        <v>XI</v>
      </c>
      <c r="K157" s="22" t="str">
        <f>D157</f>
        <v>Реализация дополнительных образовательных программ спортивной подготовки по неолимпийским видам спорта 
Тхэквондо ИТФ  (этап начальной подготовки)</v>
      </c>
      <c r="L157" s="357"/>
      <c r="M157" s="258"/>
      <c r="N157" s="258"/>
      <c r="O157" s="353"/>
      <c r="P157" s="353"/>
      <c r="Q157" s="353"/>
      <c r="R157" s="359"/>
      <c r="S157" s="670"/>
      <c r="V157" s="180"/>
    </row>
    <row r="158" spans="1:22" ht="99" x14ac:dyDescent="0.3">
      <c r="A158" s="654"/>
      <c r="B158" s="657"/>
      <c r="C158" s="17" t="s">
        <v>402</v>
      </c>
      <c r="D158" s="259" t="s">
        <v>495</v>
      </c>
      <c r="E158" s="357" t="s">
        <v>38</v>
      </c>
      <c r="F158" s="179">
        <v>0</v>
      </c>
      <c r="G158" s="179">
        <v>0</v>
      </c>
      <c r="H158" s="358">
        <v>100</v>
      </c>
      <c r="I158" s="353"/>
      <c r="J158" s="379" t="str">
        <f>C158</f>
        <v>11.1.</v>
      </c>
      <c r="K158" s="361" t="s">
        <v>496</v>
      </c>
      <c r="L158" s="357" t="s">
        <v>38</v>
      </c>
      <c r="M158" s="357">
        <v>0</v>
      </c>
      <c r="N158" s="357">
        <v>0</v>
      </c>
      <c r="O158" s="358">
        <v>100</v>
      </c>
      <c r="P158" s="353"/>
      <c r="Q158" s="353"/>
      <c r="R158" s="359"/>
      <c r="S158" s="670"/>
      <c r="V158" s="180"/>
    </row>
    <row r="159" spans="1:22" ht="181.5" x14ac:dyDescent="0.3">
      <c r="A159" s="654"/>
      <c r="B159" s="657"/>
      <c r="C159" s="379" t="s">
        <v>571</v>
      </c>
      <c r="D159" s="259" t="s">
        <v>497</v>
      </c>
      <c r="E159" s="357" t="s">
        <v>38</v>
      </c>
      <c r="F159" s="357" t="s">
        <v>498</v>
      </c>
      <c r="G159" s="357" t="s">
        <v>498</v>
      </c>
      <c r="H159" s="179" t="s">
        <v>498</v>
      </c>
      <c r="I159" s="357"/>
      <c r="J159" s="379"/>
      <c r="K159" s="361"/>
      <c r="L159" s="357"/>
      <c r="M159" s="357"/>
      <c r="N159" s="357"/>
      <c r="O159" s="358"/>
      <c r="P159" s="353"/>
      <c r="Q159" s="353"/>
      <c r="R159" s="359"/>
      <c r="S159" s="670"/>
      <c r="V159" s="180"/>
    </row>
    <row r="160" spans="1:22" ht="33" x14ac:dyDescent="0.3">
      <c r="A160" s="654"/>
      <c r="B160" s="657"/>
      <c r="C160" s="155"/>
      <c r="D160" s="21" t="s">
        <v>6</v>
      </c>
      <c r="E160" s="30"/>
      <c r="F160" s="105"/>
      <c r="G160" s="106"/>
      <c r="H160" s="7"/>
      <c r="I160" s="7">
        <f>H158</f>
        <v>100</v>
      </c>
      <c r="J160" s="380"/>
      <c r="K160" s="21" t="s">
        <v>6</v>
      </c>
      <c r="L160" s="355"/>
      <c r="M160" s="355"/>
      <c r="N160" s="355"/>
      <c r="O160" s="7"/>
      <c r="P160" s="7">
        <f>O158</f>
        <v>100</v>
      </c>
      <c r="Q160" s="7">
        <f t="shared" ref="Q160" si="37">(I160+P160)/2</f>
        <v>100</v>
      </c>
      <c r="R160" s="176" t="s">
        <v>31</v>
      </c>
      <c r="S160" s="670"/>
      <c r="V160" s="180"/>
    </row>
    <row r="161" spans="1:22" ht="115.5" x14ac:dyDescent="0.3">
      <c r="A161" s="654"/>
      <c r="B161" s="657"/>
      <c r="C161" s="257" t="s">
        <v>401</v>
      </c>
      <c r="D161" s="22" t="s">
        <v>527</v>
      </c>
      <c r="E161" s="357"/>
      <c r="F161" s="258"/>
      <c r="G161" s="358"/>
      <c r="H161" s="353"/>
      <c r="I161" s="353"/>
      <c r="J161" s="58" t="str">
        <f>C161</f>
        <v>XII</v>
      </c>
      <c r="K161" s="22" t="str">
        <f>D161</f>
        <v>Реализация дополнительных образовательных программ спортивной подготовки по неолимпийским видам спорта 
Тхэквондо ИТФ (учебно-тренировочный этап (этап спортивной специализации))</v>
      </c>
      <c r="L161" s="357"/>
      <c r="M161" s="258"/>
      <c r="N161" s="258"/>
      <c r="O161" s="353"/>
      <c r="P161" s="158"/>
      <c r="Q161" s="353"/>
      <c r="R161" s="167"/>
      <c r="S161" s="669"/>
      <c r="V161" s="269"/>
    </row>
    <row r="162" spans="1:22" ht="99" x14ac:dyDescent="0.3">
      <c r="A162" s="654"/>
      <c r="B162" s="657"/>
      <c r="C162" s="17" t="s">
        <v>404</v>
      </c>
      <c r="D162" s="259" t="s">
        <v>495</v>
      </c>
      <c r="E162" s="357" t="s">
        <v>38</v>
      </c>
      <c r="F162" s="179">
        <v>0</v>
      </c>
      <c r="G162" s="179">
        <v>0</v>
      </c>
      <c r="H162" s="358">
        <v>100</v>
      </c>
      <c r="I162" s="353"/>
      <c r="J162" s="379" t="str">
        <f>C162</f>
        <v>12.1.</v>
      </c>
      <c r="K162" s="361" t="s">
        <v>496</v>
      </c>
      <c r="L162" s="357" t="s">
        <v>38</v>
      </c>
      <c r="M162" s="357">
        <v>11</v>
      </c>
      <c r="N162" s="357">
        <v>11</v>
      </c>
      <c r="O162" s="358">
        <f t="shared" si="31"/>
        <v>100</v>
      </c>
      <c r="P162" s="265"/>
      <c r="Q162" s="353"/>
      <c r="R162" s="266"/>
      <c r="S162" s="669"/>
      <c r="V162" s="268"/>
    </row>
    <row r="163" spans="1:22" ht="181.5" x14ac:dyDescent="0.3">
      <c r="A163" s="654"/>
      <c r="B163" s="657"/>
      <c r="C163" s="379" t="s">
        <v>572</v>
      </c>
      <c r="D163" s="259" t="s">
        <v>497</v>
      </c>
      <c r="E163" s="357" t="s">
        <v>38</v>
      </c>
      <c r="F163" s="357" t="s">
        <v>498</v>
      </c>
      <c r="G163" s="357" t="s">
        <v>498</v>
      </c>
      <c r="H163" s="179" t="s">
        <v>498</v>
      </c>
      <c r="I163" s="357"/>
      <c r="J163" s="379"/>
      <c r="K163" s="361"/>
      <c r="L163" s="357"/>
      <c r="M163" s="357"/>
      <c r="N163" s="357"/>
      <c r="O163" s="358"/>
      <c r="P163" s="265"/>
      <c r="Q163" s="353"/>
      <c r="R163" s="266"/>
      <c r="S163" s="669"/>
      <c r="V163" s="268"/>
    </row>
    <row r="164" spans="1:22" ht="33" x14ac:dyDescent="0.3">
      <c r="A164" s="654"/>
      <c r="B164" s="657"/>
      <c r="C164" s="257" t="s">
        <v>431</v>
      </c>
      <c r="D164" s="21" t="s">
        <v>6</v>
      </c>
      <c r="E164" s="30"/>
      <c r="F164" s="105"/>
      <c r="G164" s="106"/>
      <c r="H164" s="7"/>
      <c r="I164" s="7">
        <f>H162</f>
        <v>100</v>
      </c>
      <c r="J164" s="380"/>
      <c r="K164" s="21" t="s">
        <v>6</v>
      </c>
      <c r="L164" s="355"/>
      <c r="M164" s="355"/>
      <c r="N164" s="355"/>
      <c r="O164" s="7"/>
      <c r="P164" s="7">
        <f>O162</f>
        <v>100</v>
      </c>
      <c r="Q164" s="7">
        <f t="shared" ref="Q164" si="38">(I164+P164)/2</f>
        <v>100</v>
      </c>
      <c r="R164" s="176" t="s">
        <v>31</v>
      </c>
      <c r="S164" s="670"/>
      <c r="V164" s="180"/>
    </row>
    <row r="165" spans="1:22" ht="67.5" customHeight="1" x14ac:dyDescent="0.3">
      <c r="A165" s="654"/>
      <c r="B165" s="657"/>
      <c r="C165" s="17" t="s">
        <v>432</v>
      </c>
      <c r="D165" s="22" t="s">
        <v>211</v>
      </c>
      <c r="E165" s="357"/>
      <c r="F165" s="179"/>
      <c r="G165" s="358"/>
      <c r="H165" s="353"/>
      <c r="I165" s="353"/>
      <c r="J165" s="257" t="s">
        <v>401</v>
      </c>
      <c r="K165" s="22" t="str">
        <f>D165</f>
        <v>Реализация дополнительных общеразвивающих программ</v>
      </c>
      <c r="L165" s="357"/>
      <c r="M165" s="357"/>
      <c r="N165" s="357"/>
      <c r="O165" s="353"/>
      <c r="P165" s="265"/>
      <c r="Q165" s="353"/>
      <c r="R165" s="275"/>
      <c r="S165" s="669"/>
      <c r="V165" s="269"/>
    </row>
    <row r="166" spans="1:22" x14ac:dyDescent="0.3">
      <c r="A166" s="654"/>
      <c r="B166" s="657"/>
      <c r="C166" s="301"/>
      <c r="D166" s="361" t="s">
        <v>498</v>
      </c>
      <c r="E166" s="361" t="s">
        <v>498</v>
      </c>
      <c r="F166" s="361" t="s">
        <v>498</v>
      </c>
      <c r="G166" s="361" t="s">
        <v>498</v>
      </c>
      <c r="H166" s="179" t="s">
        <v>498</v>
      </c>
      <c r="I166" s="361"/>
      <c r="J166" s="17" t="s">
        <v>404</v>
      </c>
      <c r="K166" s="271" t="s">
        <v>203</v>
      </c>
      <c r="L166" s="357" t="s">
        <v>204</v>
      </c>
      <c r="M166" s="272">
        <v>74568</v>
      </c>
      <c r="N166" s="272">
        <v>74568</v>
      </c>
      <c r="O166" s="358">
        <f t="shared" si="31"/>
        <v>100</v>
      </c>
      <c r="P166" s="265"/>
      <c r="Q166" s="353"/>
      <c r="R166" s="266"/>
      <c r="S166" s="669"/>
      <c r="V166" s="268"/>
    </row>
    <row r="167" spans="1:22" ht="33" x14ac:dyDescent="0.3">
      <c r="A167" s="654"/>
      <c r="B167" s="657"/>
      <c r="C167" s="357"/>
      <c r="D167" s="21" t="s">
        <v>6</v>
      </c>
      <c r="E167" s="30"/>
      <c r="F167" s="105"/>
      <c r="G167" s="106"/>
      <c r="H167" s="7"/>
      <c r="I167" s="7" t="s">
        <v>555</v>
      </c>
      <c r="J167" s="380"/>
      <c r="K167" s="21" t="s">
        <v>6</v>
      </c>
      <c r="L167" s="355"/>
      <c r="M167" s="355"/>
      <c r="N167" s="355"/>
      <c r="O167" s="7"/>
      <c r="P167" s="7">
        <f>O166</f>
        <v>100</v>
      </c>
      <c r="Q167" s="7">
        <f>P167</f>
        <v>100</v>
      </c>
      <c r="R167" s="176" t="s">
        <v>31</v>
      </c>
      <c r="S167" s="670"/>
      <c r="V167" s="269"/>
    </row>
    <row r="168" spans="1:22" ht="49.5" x14ac:dyDescent="0.3">
      <c r="A168" s="654"/>
      <c r="B168" s="657"/>
      <c r="C168" s="257" t="s">
        <v>573</v>
      </c>
      <c r="D168" s="22" t="s">
        <v>306</v>
      </c>
      <c r="E168" s="354"/>
      <c r="F168" s="203"/>
      <c r="G168" s="353"/>
      <c r="H168" s="353"/>
      <c r="I168" s="353"/>
      <c r="J168" s="58" t="str">
        <f t="shared" si="26"/>
        <v>XIV</v>
      </c>
      <c r="K168" s="22" t="str">
        <f>D168</f>
        <v>Организация мероприятий по подготовке спортивных сборных команд</v>
      </c>
      <c r="L168" s="357"/>
      <c r="M168" s="357"/>
      <c r="N168" s="357"/>
      <c r="O168" s="353"/>
      <c r="P168" s="265"/>
      <c r="Q168" s="353"/>
      <c r="R168" s="275"/>
      <c r="S168" s="669"/>
      <c r="V168" s="268"/>
    </row>
    <row r="169" spans="1:22" ht="79.5" customHeight="1" x14ac:dyDescent="0.3">
      <c r="A169" s="654"/>
      <c r="B169" s="657"/>
      <c r="C169" s="17" t="s">
        <v>574</v>
      </c>
      <c r="D169" s="361" t="s">
        <v>307</v>
      </c>
      <c r="E169" s="357" t="s">
        <v>25</v>
      </c>
      <c r="F169" s="179">
        <v>5</v>
      </c>
      <c r="G169" s="358">
        <v>18.399999999999999</v>
      </c>
      <c r="H169" s="358">
        <f>IF(G169/F169*100&gt;100,100,G169/F169*100)</f>
        <v>100</v>
      </c>
      <c r="I169" s="353"/>
      <c r="J169" s="379" t="str">
        <f t="shared" si="26"/>
        <v>14.1.</v>
      </c>
      <c r="K169" s="361" t="s">
        <v>400</v>
      </c>
      <c r="L169" s="357" t="s">
        <v>38</v>
      </c>
      <c r="M169" s="357">
        <v>118</v>
      </c>
      <c r="N169" s="357">
        <v>118</v>
      </c>
      <c r="O169" s="358">
        <f t="shared" si="31"/>
        <v>100</v>
      </c>
      <c r="P169" s="265"/>
      <c r="Q169" s="353"/>
      <c r="R169" s="266"/>
      <c r="S169" s="669"/>
    </row>
    <row r="170" spans="1:22" ht="33" x14ac:dyDescent="0.3">
      <c r="A170" s="655"/>
      <c r="B170" s="658"/>
      <c r="C170" s="301"/>
      <c r="D170" s="21" t="s">
        <v>6</v>
      </c>
      <c r="E170" s="302"/>
      <c r="F170" s="303"/>
      <c r="G170" s="304"/>
      <c r="H170" s="7"/>
      <c r="I170" s="7">
        <f>H169</f>
        <v>100</v>
      </c>
      <c r="J170" s="380"/>
      <c r="K170" s="21" t="s">
        <v>6</v>
      </c>
      <c r="L170" s="7"/>
      <c r="M170" s="7"/>
      <c r="N170" s="7"/>
      <c r="O170" s="7"/>
      <c r="P170" s="7">
        <f>O169</f>
        <v>100</v>
      </c>
      <c r="Q170" s="7">
        <f>(I170+P170)/2</f>
        <v>100</v>
      </c>
      <c r="R170" s="176" t="s">
        <v>31</v>
      </c>
      <c r="S170" s="671"/>
    </row>
    <row r="171" spans="1:22" ht="99" x14ac:dyDescent="0.3">
      <c r="A171" s="653" t="s">
        <v>76</v>
      </c>
      <c r="B171" s="672" t="s">
        <v>528</v>
      </c>
      <c r="C171" s="257" t="s">
        <v>12</v>
      </c>
      <c r="D171" s="22" t="s">
        <v>500</v>
      </c>
      <c r="E171" s="357"/>
      <c r="F171" s="179"/>
      <c r="G171" s="358"/>
      <c r="H171" s="353"/>
      <c r="I171" s="353"/>
      <c r="J171" s="58" t="s">
        <v>12</v>
      </c>
      <c r="K171" s="22" t="str">
        <f>D171</f>
        <v>Реализация дополнительных образовательных программ спортивной подготовки по олимпийским видам спорта 
Баскетбол (этап начальной подготовки)</v>
      </c>
      <c r="L171" s="357"/>
      <c r="M171" s="258"/>
      <c r="N171" s="258"/>
      <c r="O171" s="353"/>
      <c r="P171" s="353"/>
      <c r="Q171" s="353"/>
      <c r="R171" s="359"/>
      <c r="S171" s="668" t="s">
        <v>279</v>
      </c>
    </row>
    <row r="172" spans="1:22" ht="99" customHeight="1" x14ac:dyDescent="0.3">
      <c r="A172" s="654"/>
      <c r="B172" s="673"/>
      <c r="C172" s="17" t="s">
        <v>7</v>
      </c>
      <c r="D172" s="259" t="s">
        <v>495</v>
      </c>
      <c r="E172" s="357" t="s">
        <v>38</v>
      </c>
      <c r="F172" s="179">
        <v>0</v>
      </c>
      <c r="G172" s="179">
        <v>0</v>
      </c>
      <c r="H172" s="358">
        <v>100</v>
      </c>
      <c r="I172" s="353"/>
      <c r="J172" s="379" t="s">
        <v>37</v>
      </c>
      <c r="K172" s="361" t="s">
        <v>496</v>
      </c>
      <c r="L172" s="357" t="s">
        <v>38</v>
      </c>
      <c r="M172" s="357">
        <v>0</v>
      </c>
      <c r="N172" s="357">
        <v>0</v>
      </c>
      <c r="O172" s="358">
        <v>100</v>
      </c>
      <c r="P172" s="353"/>
      <c r="Q172" s="353"/>
      <c r="R172" s="359"/>
      <c r="S172" s="675"/>
    </row>
    <row r="173" spans="1:22" ht="181.5" x14ac:dyDescent="0.3">
      <c r="A173" s="654"/>
      <c r="B173" s="673"/>
      <c r="C173" s="17" t="s">
        <v>8</v>
      </c>
      <c r="D173" s="259" t="s">
        <v>497</v>
      </c>
      <c r="E173" s="357" t="s">
        <v>38</v>
      </c>
      <c r="F173" s="357" t="s">
        <v>498</v>
      </c>
      <c r="G173" s="357" t="s">
        <v>498</v>
      </c>
      <c r="H173" s="179" t="s">
        <v>498</v>
      </c>
      <c r="I173" s="357"/>
      <c r="J173" s="379"/>
      <c r="K173" s="361"/>
      <c r="L173" s="357"/>
      <c r="M173" s="357"/>
      <c r="N173" s="357"/>
      <c r="O173" s="358"/>
      <c r="P173" s="353"/>
      <c r="Q173" s="353"/>
      <c r="R173" s="359"/>
      <c r="S173" s="675"/>
    </row>
    <row r="174" spans="1:22" ht="33" x14ac:dyDescent="0.3">
      <c r="A174" s="654"/>
      <c r="B174" s="673"/>
      <c r="C174" s="357"/>
      <c r="D174" s="21" t="s">
        <v>6</v>
      </c>
      <c r="E174" s="302"/>
      <c r="F174" s="303"/>
      <c r="G174" s="304"/>
      <c r="H174" s="7"/>
      <c r="I174" s="7">
        <f>H172</f>
        <v>100</v>
      </c>
      <c r="J174" s="380"/>
      <c r="K174" s="21" t="s">
        <v>6</v>
      </c>
      <c r="L174" s="7"/>
      <c r="M174" s="7"/>
      <c r="N174" s="7"/>
      <c r="O174" s="7"/>
      <c r="P174" s="7">
        <f>O172</f>
        <v>100</v>
      </c>
      <c r="Q174" s="7">
        <f>(I174+P174)/2</f>
        <v>100</v>
      </c>
      <c r="R174" s="176" t="s">
        <v>31</v>
      </c>
      <c r="S174" s="675"/>
    </row>
    <row r="175" spans="1:22" ht="115.5" x14ac:dyDescent="0.3">
      <c r="A175" s="654"/>
      <c r="B175" s="673"/>
      <c r="C175" s="257" t="s">
        <v>13</v>
      </c>
      <c r="D175" s="22" t="s">
        <v>501</v>
      </c>
      <c r="E175" s="357"/>
      <c r="F175" s="179"/>
      <c r="G175" s="358"/>
      <c r="H175" s="353"/>
      <c r="I175" s="353"/>
      <c r="J175" s="257" t="s">
        <v>13</v>
      </c>
      <c r="K175" s="22" t="str">
        <f>D175</f>
        <v>Реализация дополнительных образовательных программ спортивной подготовки по олимпийским видам спорта 
Баскетбол (учебно-тренировочный этап (этап спортивной специализации))</v>
      </c>
      <c r="L175" s="357"/>
      <c r="M175" s="258"/>
      <c r="N175" s="258"/>
      <c r="O175" s="353"/>
      <c r="P175" s="158"/>
      <c r="Q175" s="353"/>
      <c r="R175" s="167"/>
      <c r="S175" s="675"/>
    </row>
    <row r="176" spans="1:22" ht="99" x14ac:dyDescent="0.3">
      <c r="A176" s="654"/>
      <c r="B176" s="673"/>
      <c r="C176" s="17" t="s">
        <v>14</v>
      </c>
      <c r="D176" s="259" t="s">
        <v>495</v>
      </c>
      <c r="E176" s="357" t="s">
        <v>38</v>
      </c>
      <c r="F176" s="179">
        <v>0</v>
      </c>
      <c r="G176" s="179">
        <v>0</v>
      </c>
      <c r="H176" s="358">
        <v>100</v>
      </c>
      <c r="I176" s="353"/>
      <c r="J176" s="379" t="s">
        <v>205</v>
      </c>
      <c r="K176" s="361" t="s">
        <v>496</v>
      </c>
      <c r="L176" s="357" t="s">
        <v>38</v>
      </c>
      <c r="M176" s="357">
        <v>12</v>
      </c>
      <c r="N176" s="357">
        <v>12</v>
      </c>
      <c r="O176" s="358">
        <f t="shared" si="31"/>
        <v>100</v>
      </c>
      <c r="P176" s="265"/>
      <c r="Q176" s="353"/>
      <c r="R176" s="266"/>
      <c r="S176" s="675"/>
    </row>
    <row r="177" spans="1:22" ht="181.5" customHeight="1" x14ac:dyDescent="0.3">
      <c r="A177" s="654"/>
      <c r="B177" s="673"/>
      <c r="C177" s="17" t="s">
        <v>15</v>
      </c>
      <c r="D177" s="259" t="s">
        <v>497</v>
      </c>
      <c r="E177" s="357" t="s">
        <v>38</v>
      </c>
      <c r="F177" s="357" t="s">
        <v>498</v>
      </c>
      <c r="G177" s="357" t="s">
        <v>498</v>
      </c>
      <c r="H177" s="179" t="s">
        <v>498</v>
      </c>
      <c r="I177" s="357"/>
      <c r="J177" s="379"/>
      <c r="K177" s="361"/>
      <c r="L177" s="357"/>
      <c r="M177" s="357"/>
      <c r="N177" s="357"/>
      <c r="O177" s="358"/>
      <c r="P177" s="265"/>
      <c r="Q177" s="353"/>
      <c r="R177" s="266"/>
      <c r="S177" s="675"/>
    </row>
    <row r="178" spans="1:22" ht="33" x14ac:dyDescent="0.3">
      <c r="A178" s="654"/>
      <c r="B178" s="673"/>
      <c r="C178" s="357"/>
      <c r="D178" s="21" t="s">
        <v>6</v>
      </c>
      <c r="E178" s="30"/>
      <c r="F178" s="105"/>
      <c r="G178" s="106"/>
      <c r="H178" s="7"/>
      <c r="I178" s="7">
        <f>H176</f>
        <v>100</v>
      </c>
      <c r="J178" s="380"/>
      <c r="K178" s="21" t="s">
        <v>6</v>
      </c>
      <c r="L178" s="355"/>
      <c r="M178" s="355"/>
      <c r="N178" s="355"/>
      <c r="O178" s="7"/>
      <c r="P178" s="7">
        <f>O176</f>
        <v>100</v>
      </c>
      <c r="Q178" s="7">
        <f t="shared" ref="Q178:Q210" si="39">(I178+P178)/2</f>
        <v>100</v>
      </c>
      <c r="R178" s="176" t="s">
        <v>31</v>
      </c>
      <c r="S178" s="675"/>
      <c r="V178" s="180"/>
    </row>
    <row r="179" spans="1:22" ht="99" x14ac:dyDescent="0.3">
      <c r="A179" s="654"/>
      <c r="B179" s="673"/>
      <c r="C179" s="354" t="s">
        <v>28</v>
      </c>
      <c r="D179" s="22" t="s">
        <v>522</v>
      </c>
      <c r="E179" s="357"/>
      <c r="F179" s="179"/>
      <c r="G179" s="358"/>
      <c r="H179" s="353"/>
      <c r="I179" s="353"/>
      <c r="J179" s="354" t="s">
        <v>28</v>
      </c>
      <c r="K179" s="22" t="str">
        <f>D179</f>
        <v>Реализация дополнительных образовательных программ спортивной подготовки по олимпийским видам спорта 
Бокс (этап начальной подготовки)</v>
      </c>
      <c r="L179" s="357"/>
      <c r="M179" s="258"/>
      <c r="N179" s="258"/>
      <c r="O179" s="353"/>
      <c r="P179" s="158"/>
      <c r="Q179" s="353"/>
      <c r="R179" s="167"/>
      <c r="S179" s="675"/>
    </row>
    <row r="180" spans="1:22" ht="99" x14ac:dyDescent="0.3">
      <c r="A180" s="654"/>
      <c r="B180" s="673"/>
      <c r="C180" s="17" t="s">
        <v>29</v>
      </c>
      <c r="D180" s="259" t="s">
        <v>495</v>
      </c>
      <c r="E180" s="357" t="s">
        <v>38</v>
      </c>
      <c r="F180" s="179">
        <v>0</v>
      </c>
      <c r="G180" s="179">
        <v>0</v>
      </c>
      <c r="H180" s="358">
        <v>100</v>
      </c>
      <c r="I180" s="353"/>
      <c r="J180" s="17" t="s">
        <v>29</v>
      </c>
      <c r="K180" s="361" t="s">
        <v>496</v>
      </c>
      <c r="L180" s="357" t="s">
        <v>38</v>
      </c>
      <c r="M180" s="357">
        <v>45</v>
      </c>
      <c r="N180" s="357">
        <v>45</v>
      </c>
      <c r="O180" s="358">
        <f t="shared" si="31"/>
        <v>100</v>
      </c>
      <c r="P180" s="265"/>
      <c r="Q180" s="353"/>
      <c r="R180" s="266"/>
      <c r="S180" s="675"/>
    </row>
    <row r="181" spans="1:22" ht="181.5" customHeight="1" x14ac:dyDescent="0.3">
      <c r="A181" s="654"/>
      <c r="B181" s="673"/>
      <c r="C181" s="17" t="s">
        <v>30</v>
      </c>
      <c r="D181" s="259" t="s">
        <v>497</v>
      </c>
      <c r="E181" s="357" t="s">
        <v>38</v>
      </c>
      <c r="F181" s="357" t="s">
        <v>498</v>
      </c>
      <c r="G181" s="357" t="s">
        <v>498</v>
      </c>
      <c r="H181" s="179" t="s">
        <v>498</v>
      </c>
      <c r="I181" s="357"/>
      <c r="J181" s="379"/>
      <c r="K181" s="361"/>
      <c r="L181" s="357"/>
      <c r="M181" s="357"/>
      <c r="N181" s="357"/>
      <c r="O181" s="358"/>
      <c r="P181" s="265"/>
      <c r="Q181" s="353"/>
      <c r="R181" s="266"/>
      <c r="S181" s="675"/>
    </row>
    <row r="182" spans="1:22" ht="33" x14ac:dyDescent="0.3">
      <c r="A182" s="654"/>
      <c r="B182" s="673"/>
      <c r="C182" s="357"/>
      <c r="D182" s="21" t="s">
        <v>6</v>
      </c>
      <c r="E182" s="30"/>
      <c r="F182" s="105"/>
      <c r="G182" s="106"/>
      <c r="H182" s="7"/>
      <c r="I182" s="7">
        <f>H180</f>
        <v>100</v>
      </c>
      <c r="J182" s="380"/>
      <c r="K182" s="21" t="s">
        <v>6</v>
      </c>
      <c r="L182" s="355"/>
      <c r="M182" s="355"/>
      <c r="N182" s="355"/>
      <c r="O182" s="7"/>
      <c r="P182" s="7">
        <f>O180</f>
        <v>100</v>
      </c>
      <c r="Q182" s="7">
        <f t="shared" si="39"/>
        <v>100</v>
      </c>
      <c r="R182" s="176" t="s">
        <v>31</v>
      </c>
      <c r="S182" s="675"/>
      <c r="V182" s="180"/>
    </row>
    <row r="183" spans="1:22" ht="115.5" x14ac:dyDescent="0.3">
      <c r="A183" s="654"/>
      <c r="B183" s="673"/>
      <c r="C183" s="354" t="s">
        <v>42</v>
      </c>
      <c r="D183" s="22" t="s">
        <v>523</v>
      </c>
      <c r="E183" s="354"/>
      <c r="F183" s="203"/>
      <c r="G183" s="353"/>
      <c r="H183" s="353"/>
      <c r="I183" s="353"/>
      <c r="J183" s="354" t="s">
        <v>42</v>
      </c>
      <c r="K183" s="22" t="str">
        <f>D183</f>
        <v>Реализация дополнительных образовательных программ спортивной подготовки по олимпийским видам спорта 
Бокс (учебно-тренировочный этап (этап спортивной специализации))</v>
      </c>
      <c r="L183" s="357"/>
      <c r="M183" s="358"/>
      <c r="N183" s="358"/>
      <c r="O183" s="353"/>
      <c r="P183" s="265"/>
      <c r="Q183" s="353"/>
      <c r="R183" s="167"/>
      <c r="S183" s="675"/>
    </row>
    <row r="184" spans="1:22" s="180" customFormat="1" ht="99" x14ac:dyDescent="0.3">
      <c r="A184" s="654"/>
      <c r="B184" s="673"/>
      <c r="C184" s="17" t="s">
        <v>43</v>
      </c>
      <c r="D184" s="259" t="s">
        <v>495</v>
      </c>
      <c r="E184" s="357" t="s">
        <v>38</v>
      </c>
      <c r="F184" s="179">
        <v>0</v>
      </c>
      <c r="G184" s="179">
        <v>0</v>
      </c>
      <c r="H184" s="358">
        <v>100</v>
      </c>
      <c r="I184" s="353"/>
      <c r="J184" s="17" t="s">
        <v>43</v>
      </c>
      <c r="K184" s="361" t="s">
        <v>496</v>
      </c>
      <c r="L184" s="357" t="s">
        <v>38</v>
      </c>
      <c r="M184" s="357">
        <v>18</v>
      </c>
      <c r="N184" s="357">
        <v>18</v>
      </c>
      <c r="O184" s="358">
        <f t="shared" si="31"/>
        <v>100</v>
      </c>
      <c r="P184" s="265"/>
      <c r="Q184" s="353"/>
      <c r="R184" s="266"/>
      <c r="S184" s="675"/>
      <c r="T184" s="438"/>
    </row>
    <row r="185" spans="1:22" s="180" customFormat="1" ht="181.5" customHeight="1" x14ac:dyDescent="0.3">
      <c r="A185" s="654"/>
      <c r="B185" s="673"/>
      <c r="C185" s="17" t="s">
        <v>137</v>
      </c>
      <c r="D185" s="259" t="s">
        <v>497</v>
      </c>
      <c r="E185" s="357" t="s">
        <v>38</v>
      </c>
      <c r="F185" s="357" t="s">
        <v>498</v>
      </c>
      <c r="G185" s="357" t="s">
        <v>498</v>
      </c>
      <c r="H185" s="179" t="s">
        <v>498</v>
      </c>
      <c r="I185" s="357"/>
      <c r="J185" s="379"/>
      <c r="K185" s="361"/>
      <c r="L185" s="357"/>
      <c r="M185" s="357"/>
      <c r="N185" s="357"/>
      <c r="O185" s="358"/>
      <c r="P185" s="265"/>
      <c r="Q185" s="353"/>
      <c r="R185" s="266"/>
      <c r="S185" s="675"/>
      <c r="T185" s="438"/>
    </row>
    <row r="186" spans="1:22" ht="33" x14ac:dyDescent="0.3">
      <c r="A186" s="654"/>
      <c r="B186" s="673"/>
      <c r="C186" s="357"/>
      <c r="D186" s="21" t="s">
        <v>6</v>
      </c>
      <c r="E186" s="30"/>
      <c r="F186" s="105"/>
      <c r="G186" s="106"/>
      <c r="H186" s="7"/>
      <c r="I186" s="7">
        <f>H184</f>
        <v>100</v>
      </c>
      <c r="J186" s="380"/>
      <c r="K186" s="21" t="s">
        <v>6</v>
      </c>
      <c r="L186" s="355"/>
      <c r="M186" s="355"/>
      <c r="N186" s="355"/>
      <c r="O186" s="7"/>
      <c r="P186" s="7">
        <f>O184</f>
        <v>100</v>
      </c>
      <c r="Q186" s="7">
        <f t="shared" si="39"/>
        <v>100</v>
      </c>
      <c r="R186" s="176" t="s">
        <v>31</v>
      </c>
      <c r="S186" s="675"/>
      <c r="V186" s="180"/>
    </row>
    <row r="187" spans="1:22" s="180" customFormat="1" ht="99" x14ac:dyDescent="0.3">
      <c r="A187" s="654"/>
      <c r="B187" s="673"/>
      <c r="C187" s="354" t="s">
        <v>164</v>
      </c>
      <c r="D187" s="22" t="s">
        <v>529</v>
      </c>
      <c r="E187" s="354"/>
      <c r="F187" s="203"/>
      <c r="G187" s="353"/>
      <c r="H187" s="353"/>
      <c r="I187" s="353"/>
      <c r="J187" s="58" t="s">
        <v>164</v>
      </c>
      <c r="K187" s="22" t="str">
        <f>D187</f>
        <v>Реализация дополнительных образовательных программ спортивной подготовки по олимпийским видам спорта 
Дзюдо (этап начальной подготовки)</v>
      </c>
      <c r="L187" s="357"/>
      <c r="M187" s="358"/>
      <c r="N187" s="358"/>
      <c r="O187" s="353"/>
      <c r="P187" s="265"/>
      <c r="Q187" s="353"/>
      <c r="R187" s="167"/>
      <c r="S187" s="675"/>
      <c r="T187" s="438"/>
    </row>
    <row r="188" spans="1:22" s="180" customFormat="1" ht="99" x14ac:dyDescent="0.3">
      <c r="A188" s="654"/>
      <c r="B188" s="673"/>
      <c r="C188" s="17" t="s">
        <v>165</v>
      </c>
      <c r="D188" s="259" t="s">
        <v>495</v>
      </c>
      <c r="E188" s="357" t="s">
        <v>38</v>
      </c>
      <c r="F188" s="179">
        <v>0</v>
      </c>
      <c r="G188" s="179">
        <v>0</v>
      </c>
      <c r="H188" s="358">
        <v>100</v>
      </c>
      <c r="I188" s="353"/>
      <c r="J188" s="379" t="s">
        <v>165</v>
      </c>
      <c r="K188" s="361" t="s">
        <v>496</v>
      </c>
      <c r="L188" s="357" t="s">
        <v>38</v>
      </c>
      <c r="M188" s="357">
        <v>28</v>
      </c>
      <c r="N188" s="357">
        <v>28</v>
      </c>
      <c r="O188" s="358">
        <f t="shared" si="31"/>
        <v>100</v>
      </c>
      <c r="P188" s="265"/>
      <c r="Q188" s="353"/>
      <c r="R188" s="266"/>
      <c r="S188" s="675"/>
      <c r="T188" s="438"/>
    </row>
    <row r="189" spans="1:22" s="180" customFormat="1" ht="181.5" customHeight="1" x14ac:dyDescent="0.3">
      <c r="A189" s="654"/>
      <c r="B189" s="673"/>
      <c r="C189" s="17" t="s">
        <v>166</v>
      </c>
      <c r="D189" s="259" t="s">
        <v>497</v>
      </c>
      <c r="E189" s="357" t="s">
        <v>38</v>
      </c>
      <c r="F189" s="357" t="s">
        <v>498</v>
      </c>
      <c r="G189" s="357" t="s">
        <v>498</v>
      </c>
      <c r="H189" s="179" t="s">
        <v>498</v>
      </c>
      <c r="I189" s="357"/>
      <c r="J189" s="379"/>
      <c r="K189" s="361"/>
      <c r="L189" s="357"/>
      <c r="M189" s="357"/>
      <c r="N189" s="357"/>
      <c r="O189" s="358"/>
      <c r="P189" s="265"/>
      <c r="Q189" s="353"/>
      <c r="R189" s="266"/>
      <c r="S189" s="675"/>
      <c r="T189" s="438"/>
    </row>
    <row r="190" spans="1:22" ht="33" x14ac:dyDescent="0.3">
      <c r="A190" s="654"/>
      <c r="B190" s="673"/>
      <c r="C190" s="357"/>
      <c r="D190" s="21" t="s">
        <v>6</v>
      </c>
      <c r="E190" s="30"/>
      <c r="F190" s="105"/>
      <c r="G190" s="106"/>
      <c r="H190" s="7"/>
      <c r="I190" s="7">
        <f>H188</f>
        <v>100</v>
      </c>
      <c r="J190" s="380"/>
      <c r="K190" s="21" t="s">
        <v>6</v>
      </c>
      <c r="L190" s="355"/>
      <c r="M190" s="355"/>
      <c r="N190" s="355"/>
      <c r="O190" s="7"/>
      <c r="P190" s="7">
        <f>O188</f>
        <v>100</v>
      </c>
      <c r="Q190" s="7">
        <f t="shared" si="39"/>
        <v>100</v>
      </c>
      <c r="R190" s="176" t="s">
        <v>31</v>
      </c>
      <c r="S190" s="675"/>
      <c r="V190" s="180"/>
    </row>
    <row r="191" spans="1:22" s="180" customFormat="1" ht="115.5" x14ac:dyDescent="0.3">
      <c r="A191" s="654"/>
      <c r="B191" s="673"/>
      <c r="C191" s="257" t="s">
        <v>170</v>
      </c>
      <c r="D191" s="22" t="s">
        <v>530</v>
      </c>
      <c r="E191" s="354"/>
      <c r="F191" s="203"/>
      <c r="G191" s="353"/>
      <c r="H191" s="353"/>
      <c r="I191" s="353"/>
      <c r="J191" s="257" t="s">
        <v>170</v>
      </c>
      <c r="K191" s="22" t="str">
        <f>D191</f>
        <v>Реализация дополнительных образовательных программ спортивной подготовки по олимпийским видам спорта 
Дзюдо (учебно-тренировочный этап (этап спортивной специализации))</v>
      </c>
      <c r="L191" s="357"/>
      <c r="M191" s="358"/>
      <c r="N191" s="358"/>
      <c r="O191" s="353"/>
      <c r="P191" s="265"/>
      <c r="Q191" s="353"/>
      <c r="R191" s="167"/>
      <c r="S191" s="675"/>
      <c r="T191" s="438"/>
    </row>
    <row r="192" spans="1:22" s="180" customFormat="1" ht="99" x14ac:dyDescent="0.3">
      <c r="A192" s="654"/>
      <c r="B192" s="673"/>
      <c r="C192" s="17" t="s">
        <v>171</v>
      </c>
      <c r="D192" s="259" t="s">
        <v>495</v>
      </c>
      <c r="E192" s="357" t="s">
        <v>38</v>
      </c>
      <c r="F192" s="179">
        <v>0</v>
      </c>
      <c r="G192" s="179">
        <v>0</v>
      </c>
      <c r="H192" s="358">
        <v>100</v>
      </c>
      <c r="I192" s="353"/>
      <c r="J192" s="17" t="s">
        <v>171</v>
      </c>
      <c r="K192" s="361" t="s">
        <v>496</v>
      </c>
      <c r="L192" s="357" t="s">
        <v>38</v>
      </c>
      <c r="M192" s="357">
        <v>42</v>
      </c>
      <c r="N192" s="357">
        <v>42</v>
      </c>
      <c r="O192" s="358">
        <f t="shared" si="31"/>
        <v>100</v>
      </c>
      <c r="P192" s="265"/>
      <c r="Q192" s="353"/>
      <c r="R192" s="266"/>
      <c r="S192" s="675"/>
      <c r="T192" s="438"/>
    </row>
    <row r="193" spans="1:22" s="180" customFormat="1" ht="181.5" customHeight="1" x14ac:dyDescent="0.3">
      <c r="A193" s="654"/>
      <c r="B193" s="673"/>
      <c r="C193" s="17" t="s">
        <v>172</v>
      </c>
      <c r="D193" s="259" t="s">
        <v>497</v>
      </c>
      <c r="E193" s="357" t="s">
        <v>38</v>
      </c>
      <c r="F193" s="357" t="s">
        <v>498</v>
      </c>
      <c r="G193" s="357" t="s">
        <v>498</v>
      </c>
      <c r="H193" s="179" t="s">
        <v>498</v>
      </c>
      <c r="I193" s="357"/>
      <c r="J193" s="379"/>
      <c r="K193" s="361"/>
      <c r="L193" s="357"/>
      <c r="M193" s="357"/>
      <c r="N193" s="357"/>
      <c r="O193" s="358"/>
      <c r="P193" s="265"/>
      <c r="Q193" s="353"/>
      <c r="R193" s="266"/>
      <c r="S193" s="675"/>
      <c r="T193" s="438"/>
    </row>
    <row r="194" spans="1:22" ht="33" x14ac:dyDescent="0.3">
      <c r="A194" s="654"/>
      <c r="B194" s="673"/>
      <c r="C194" s="357"/>
      <c r="D194" s="21" t="s">
        <v>6</v>
      </c>
      <c r="E194" s="30"/>
      <c r="F194" s="105"/>
      <c r="G194" s="106"/>
      <c r="H194" s="7"/>
      <c r="I194" s="7">
        <f>H192</f>
        <v>100</v>
      </c>
      <c r="J194" s="380"/>
      <c r="K194" s="21" t="s">
        <v>6</v>
      </c>
      <c r="L194" s="355"/>
      <c r="M194" s="355"/>
      <c r="N194" s="355"/>
      <c r="O194" s="7"/>
      <c r="P194" s="7">
        <f>O192</f>
        <v>100</v>
      </c>
      <c r="Q194" s="7">
        <f t="shared" si="39"/>
        <v>100</v>
      </c>
      <c r="R194" s="176" t="s">
        <v>31</v>
      </c>
      <c r="S194" s="675"/>
      <c r="V194" s="180"/>
    </row>
    <row r="195" spans="1:22" ht="99" x14ac:dyDescent="0.3">
      <c r="A195" s="654"/>
      <c r="B195" s="673"/>
      <c r="C195" s="257" t="s">
        <v>207</v>
      </c>
      <c r="D195" s="22" t="s">
        <v>542</v>
      </c>
      <c r="E195" s="357"/>
      <c r="F195" s="179"/>
      <c r="G195" s="358"/>
      <c r="H195" s="353"/>
      <c r="I195" s="353"/>
      <c r="J195" s="257" t="s">
        <v>207</v>
      </c>
      <c r="K195" s="22" t="str">
        <f>D195</f>
        <v>Реализация дополнительных образовательных программ спортивной подготовки по олимпийским видам спорта 
Плавание (этап начальной подготовки)</v>
      </c>
      <c r="L195" s="357"/>
      <c r="M195" s="258"/>
      <c r="N195" s="258"/>
      <c r="O195" s="353"/>
      <c r="P195" s="353"/>
      <c r="Q195" s="353"/>
      <c r="R195" s="359"/>
      <c r="S195" s="675"/>
      <c r="V195" s="180"/>
    </row>
    <row r="196" spans="1:22" ht="99" x14ac:dyDescent="0.3">
      <c r="A196" s="654"/>
      <c r="B196" s="673"/>
      <c r="C196" s="17" t="s">
        <v>208</v>
      </c>
      <c r="D196" s="259" t="s">
        <v>495</v>
      </c>
      <c r="E196" s="357" t="s">
        <v>38</v>
      </c>
      <c r="F196" s="179">
        <v>0</v>
      </c>
      <c r="G196" s="179">
        <v>0</v>
      </c>
      <c r="H196" s="358">
        <v>100</v>
      </c>
      <c r="I196" s="353"/>
      <c r="J196" s="17" t="s">
        <v>208</v>
      </c>
      <c r="K196" s="361" t="s">
        <v>496</v>
      </c>
      <c r="L196" s="357" t="s">
        <v>38</v>
      </c>
      <c r="M196" s="357">
        <v>15</v>
      </c>
      <c r="N196" s="357">
        <v>15</v>
      </c>
      <c r="O196" s="358">
        <f t="shared" ref="O196" si="40">IF(N196/M196*100&gt;110,110,N196/M196*100)</f>
        <v>100</v>
      </c>
      <c r="P196" s="353"/>
      <c r="Q196" s="353"/>
      <c r="R196" s="359"/>
      <c r="S196" s="675"/>
      <c r="V196" s="180"/>
    </row>
    <row r="197" spans="1:22" ht="181.5" customHeight="1" x14ac:dyDescent="0.3">
      <c r="A197" s="654"/>
      <c r="B197" s="673"/>
      <c r="C197" s="17" t="s">
        <v>212</v>
      </c>
      <c r="D197" s="259" t="s">
        <v>497</v>
      </c>
      <c r="E197" s="357" t="s">
        <v>38</v>
      </c>
      <c r="F197" s="357" t="s">
        <v>498</v>
      </c>
      <c r="G197" s="357" t="s">
        <v>498</v>
      </c>
      <c r="H197" s="179" t="s">
        <v>498</v>
      </c>
      <c r="I197" s="357"/>
      <c r="J197" s="379"/>
      <c r="K197" s="361"/>
      <c r="L197" s="357"/>
      <c r="M197" s="357"/>
      <c r="N197" s="357"/>
      <c r="O197" s="358"/>
      <c r="P197" s="353"/>
      <c r="Q197" s="353"/>
      <c r="R197" s="359"/>
      <c r="S197" s="675"/>
      <c r="V197" s="180"/>
    </row>
    <row r="198" spans="1:22" ht="33" x14ac:dyDescent="0.3">
      <c r="A198" s="654"/>
      <c r="B198" s="673"/>
      <c r="C198" s="357"/>
      <c r="D198" s="21" t="s">
        <v>6</v>
      </c>
      <c r="E198" s="30"/>
      <c r="F198" s="105"/>
      <c r="G198" s="106"/>
      <c r="H198" s="7"/>
      <c r="I198" s="7">
        <f>H196</f>
        <v>100</v>
      </c>
      <c r="J198" s="380"/>
      <c r="K198" s="21" t="s">
        <v>6</v>
      </c>
      <c r="L198" s="355"/>
      <c r="M198" s="355"/>
      <c r="N198" s="355"/>
      <c r="O198" s="7"/>
      <c r="P198" s="7">
        <f>O196</f>
        <v>100</v>
      </c>
      <c r="Q198" s="7">
        <f t="shared" ref="Q198" si="41">(I198+P198)/2</f>
        <v>100</v>
      </c>
      <c r="R198" s="176" t="s">
        <v>31</v>
      </c>
      <c r="S198" s="675"/>
      <c r="V198" s="180"/>
    </row>
    <row r="199" spans="1:22" s="180" customFormat="1" ht="115.5" x14ac:dyDescent="0.3">
      <c r="A199" s="654"/>
      <c r="B199" s="673"/>
      <c r="C199" s="257" t="s">
        <v>209</v>
      </c>
      <c r="D199" s="22" t="s">
        <v>526</v>
      </c>
      <c r="E199" s="354"/>
      <c r="F199" s="203"/>
      <c r="G199" s="353"/>
      <c r="H199" s="353"/>
      <c r="I199" s="353"/>
      <c r="J199" s="58" t="s">
        <v>209</v>
      </c>
      <c r="K199" s="22" t="str">
        <f>D199</f>
        <v>Реализация дополнительных образовательных программ спортивной подготовки по олимпийским видам спорта 
Плавание (учебно-тренировочный этап (этап спортивной специализации))</v>
      </c>
      <c r="L199" s="357"/>
      <c r="M199" s="258"/>
      <c r="N199" s="258"/>
      <c r="O199" s="353"/>
      <c r="P199" s="265"/>
      <c r="Q199" s="353"/>
      <c r="R199" s="167"/>
      <c r="S199" s="675"/>
      <c r="T199" s="438"/>
    </row>
    <row r="200" spans="1:22" s="180" customFormat="1" ht="99" x14ac:dyDescent="0.3">
      <c r="A200" s="654"/>
      <c r="B200" s="673"/>
      <c r="C200" s="17" t="s">
        <v>210</v>
      </c>
      <c r="D200" s="259" t="s">
        <v>495</v>
      </c>
      <c r="E200" s="357" t="s">
        <v>38</v>
      </c>
      <c r="F200" s="179">
        <v>0</v>
      </c>
      <c r="G200" s="179">
        <v>0</v>
      </c>
      <c r="H200" s="358">
        <v>100</v>
      </c>
      <c r="I200" s="353"/>
      <c r="J200" s="379" t="s">
        <v>210</v>
      </c>
      <c r="K200" s="361" t="s">
        <v>496</v>
      </c>
      <c r="L200" s="357" t="s">
        <v>38</v>
      </c>
      <c r="M200" s="357">
        <v>12</v>
      </c>
      <c r="N200" s="357">
        <v>12</v>
      </c>
      <c r="O200" s="358">
        <f t="shared" si="31"/>
        <v>100</v>
      </c>
      <c r="P200" s="265"/>
      <c r="Q200" s="353"/>
      <c r="R200" s="266"/>
      <c r="S200" s="675"/>
      <c r="T200" s="438"/>
    </row>
    <row r="201" spans="1:22" s="180" customFormat="1" ht="181.5" customHeight="1" x14ac:dyDescent="0.3">
      <c r="A201" s="654"/>
      <c r="B201" s="673"/>
      <c r="C201" s="17" t="s">
        <v>249</v>
      </c>
      <c r="D201" s="259" t="s">
        <v>497</v>
      </c>
      <c r="E201" s="357" t="s">
        <v>38</v>
      </c>
      <c r="F201" s="357" t="s">
        <v>498</v>
      </c>
      <c r="G201" s="357" t="s">
        <v>498</v>
      </c>
      <c r="H201" s="179" t="s">
        <v>498</v>
      </c>
      <c r="I201" s="357"/>
      <c r="J201" s="379"/>
      <c r="K201" s="361"/>
      <c r="L201" s="357"/>
      <c r="M201" s="357"/>
      <c r="N201" s="357"/>
      <c r="O201" s="358"/>
      <c r="P201" s="265"/>
      <c r="Q201" s="353"/>
      <c r="R201" s="266"/>
      <c r="S201" s="675"/>
      <c r="T201" s="438"/>
    </row>
    <row r="202" spans="1:22" ht="33" x14ac:dyDescent="0.3">
      <c r="A202" s="654"/>
      <c r="B202" s="673"/>
      <c r="C202" s="357"/>
      <c r="D202" s="21" t="s">
        <v>6</v>
      </c>
      <c r="E202" s="30"/>
      <c r="F202" s="105"/>
      <c r="G202" s="106"/>
      <c r="H202" s="7"/>
      <c r="I202" s="7">
        <f>H200</f>
        <v>100</v>
      </c>
      <c r="J202" s="380"/>
      <c r="K202" s="21" t="s">
        <v>6</v>
      </c>
      <c r="L202" s="355"/>
      <c r="M202" s="355"/>
      <c r="N202" s="355"/>
      <c r="O202" s="7"/>
      <c r="P202" s="7">
        <f>O200</f>
        <v>100</v>
      </c>
      <c r="Q202" s="7">
        <f t="shared" si="39"/>
        <v>100</v>
      </c>
      <c r="R202" s="176" t="s">
        <v>31</v>
      </c>
      <c r="S202" s="675"/>
      <c r="V202" s="180"/>
    </row>
    <row r="203" spans="1:22" s="180" customFormat="1" ht="99" customHeight="1" x14ac:dyDescent="0.3">
      <c r="A203" s="654"/>
      <c r="B203" s="673"/>
      <c r="C203" s="257" t="s">
        <v>357</v>
      </c>
      <c r="D203" s="22" t="s">
        <v>531</v>
      </c>
      <c r="E203" s="354"/>
      <c r="F203" s="203"/>
      <c r="G203" s="353"/>
      <c r="H203" s="353"/>
      <c r="I203" s="353"/>
      <c r="J203" s="257" t="s">
        <v>357</v>
      </c>
      <c r="K203" s="22" t="str">
        <f>D203</f>
        <v>Реализация дополнительных образовательных программ спортивной подготовки по неолимпийским видам спорта 
Пауэрлифтинг (этап начальной подготовки)</v>
      </c>
      <c r="L203" s="357"/>
      <c r="M203" s="258"/>
      <c r="N203" s="258"/>
      <c r="O203" s="353"/>
      <c r="P203" s="265"/>
      <c r="Q203" s="353"/>
      <c r="R203" s="167"/>
      <c r="S203" s="675"/>
      <c r="T203" s="438"/>
    </row>
    <row r="204" spans="1:22" s="180" customFormat="1" ht="99" x14ac:dyDescent="0.3">
      <c r="A204" s="654"/>
      <c r="B204" s="673"/>
      <c r="C204" s="17" t="s">
        <v>358</v>
      </c>
      <c r="D204" s="259" t="s">
        <v>495</v>
      </c>
      <c r="E204" s="357" t="s">
        <v>38</v>
      </c>
      <c r="F204" s="179">
        <v>0</v>
      </c>
      <c r="G204" s="179">
        <v>0</v>
      </c>
      <c r="H204" s="358">
        <v>100</v>
      </c>
      <c r="I204" s="353"/>
      <c r="J204" s="17" t="s">
        <v>358</v>
      </c>
      <c r="K204" s="361" t="s">
        <v>496</v>
      </c>
      <c r="L204" s="357" t="s">
        <v>38</v>
      </c>
      <c r="M204" s="357">
        <v>14</v>
      </c>
      <c r="N204" s="357">
        <v>14</v>
      </c>
      <c r="O204" s="358">
        <f t="shared" si="31"/>
        <v>100</v>
      </c>
      <c r="P204" s="265"/>
      <c r="Q204" s="353"/>
      <c r="R204" s="266"/>
      <c r="S204" s="675"/>
      <c r="T204" s="438"/>
    </row>
    <row r="205" spans="1:22" s="180" customFormat="1" ht="181.5" customHeight="1" x14ac:dyDescent="0.3">
      <c r="A205" s="654"/>
      <c r="B205" s="673"/>
      <c r="C205" s="17" t="s">
        <v>359</v>
      </c>
      <c r="D205" s="259" t="s">
        <v>497</v>
      </c>
      <c r="E205" s="357" t="s">
        <v>38</v>
      </c>
      <c r="F205" s="357" t="s">
        <v>498</v>
      </c>
      <c r="G205" s="357" t="s">
        <v>498</v>
      </c>
      <c r="H205" s="179" t="s">
        <v>498</v>
      </c>
      <c r="I205" s="357"/>
      <c r="J205" s="379"/>
      <c r="K205" s="361"/>
      <c r="L205" s="357"/>
      <c r="M205" s="357"/>
      <c r="N205" s="357"/>
      <c r="O205" s="358"/>
      <c r="P205" s="265"/>
      <c r="Q205" s="353"/>
      <c r="R205" s="266"/>
      <c r="S205" s="675"/>
      <c r="T205" s="438"/>
    </row>
    <row r="206" spans="1:22" ht="33" x14ac:dyDescent="0.3">
      <c r="A206" s="654"/>
      <c r="B206" s="673"/>
      <c r="C206" s="257" t="s">
        <v>396</v>
      </c>
      <c r="D206" s="21" t="s">
        <v>6</v>
      </c>
      <c r="E206" s="30"/>
      <c r="F206" s="105"/>
      <c r="G206" s="106"/>
      <c r="H206" s="7"/>
      <c r="I206" s="7">
        <f>H204</f>
        <v>100</v>
      </c>
      <c r="J206" s="380"/>
      <c r="K206" s="21" t="s">
        <v>6</v>
      </c>
      <c r="L206" s="355"/>
      <c r="M206" s="355"/>
      <c r="N206" s="355"/>
      <c r="O206" s="7"/>
      <c r="P206" s="7">
        <f>O204</f>
        <v>100</v>
      </c>
      <c r="Q206" s="7">
        <f t="shared" si="39"/>
        <v>100</v>
      </c>
      <c r="R206" s="176" t="s">
        <v>31</v>
      </c>
      <c r="S206" s="675"/>
      <c r="V206" s="180"/>
    </row>
    <row r="207" spans="1:22" s="180" customFormat="1" ht="115.5" customHeight="1" x14ac:dyDescent="0.3">
      <c r="A207" s="654"/>
      <c r="B207" s="673"/>
      <c r="C207" s="257" t="s">
        <v>396</v>
      </c>
      <c r="D207" s="22" t="s">
        <v>532</v>
      </c>
      <c r="E207" s="354"/>
      <c r="F207" s="203"/>
      <c r="G207" s="353"/>
      <c r="H207" s="353"/>
      <c r="I207" s="353"/>
      <c r="J207" s="58" t="s">
        <v>396</v>
      </c>
      <c r="K207" s="22" t="str">
        <f>D207</f>
        <v>Реализация дополнительных образовательных программ спортивной подготовки по неолимпийским видам спорта 
Пауэрлифтинг (учебно-тренировочный этап (этап спортивной специализации))</v>
      </c>
      <c r="L207" s="357"/>
      <c r="M207" s="258"/>
      <c r="N207" s="258"/>
      <c r="O207" s="353"/>
      <c r="P207" s="265"/>
      <c r="Q207" s="353"/>
      <c r="R207" s="167"/>
      <c r="S207" s="675"/>
      <c r="T207" s="438"/>
    </row>
    <row r="208" spans="1:22" s="180" customFormat="1" ht="99" x14ac:dyDescent="0.3">
      <c r="A208" s="654"/>
      <c r="B208" s="673"/>
      <c r="C208" s="17" t="s">
        <v>397</v>
      </c>
      <c r="D208" s="259" t="s">
        <v>495</v>
      </c>
      <c r="E208" s="357" t="s">
        <v>38</v>
      </c>
      <c r="F208" s="179">
        <v>0</v>
      </c>
      <c r="G208" s="179">
        <v>0</v>
      </c>
      <c r="H208" s="358">
        <v>100</v>
      </c>
      <c r="I208" s="353"/>
      <c r="J208" s="379" t="s">
        <v>397</v>
      </c>
      <c r="K208" s="361" t="s">
        <v>496</v>
      </c>
      <c r="L208" s="357" t="s">
        <v>38</v>
      </c>
      <c r="M208" s="357">
        <v>63</v>
      </c>
      <c r="N208" s="357">
        <v>63</v>
      </c>
      <c r="O208" s="358">
        <f t="shared" si="31"/>
        <v>100</v>
      </c>
      <c r="P208" s="265"/>
      <c r="Q208" s="353"/>
      <c r="R208" s="266"/>
      <c r="S208" s="675"/>
      <c r="T208" s="438"/>
    </row>
    <row r="209" spans="1:22" s="180" customFormat="1" ht="181.5" customHeight="1" x14ac:dyDescent="0.3">
      <c r="A209" s="654"/>
      <c r="B209" s="673"/>
      <c r="C209" s="17" t="s">
        <v>429</v>
      </c>
      <c r="D209" s="259" t="s">
        <v>497</v>
      </c>
      <c r="E209" s="357" t="s">
        <v>38</v>
      </c>
      <c r="F209" s="357" t="s">
        <v>498</v>
      </c>
      <c r="G209" s="357" t="s">
        <v>498</v>
      </c>
      <c r="H209" s="179" t="s">
        <v>498</v>
      </c>
      <c r="I209" s="357"/>
      <c r="J209" s="379"/>
      <c r="K209" s="361"/>
      <c r="L209" s="357"/>
      <c r="M209" s="357"/>
      <c r="N209" s="357"/>
      <c r="O209" s="358"/>
      <c r="P209" s="265"/>
      <c r="Q209" s="353"/>
      <c r="R209" s="266"/>
      <c r="S209" s="675"/>
      <c r="T209" s="438"/>
    </row>
    <row r="210" spans="1:22" ht="67.5" customHeight="1" x14ac:dyDescent="0.3">
      <c r="A210" s="654"/>
      <c r="B210" s="673"/>
      <c r="C210" s="379" t="s">
        <v>575</v>
      </c>
      <c r="D210" s="21" t="s">
        <v>6</v>
      </c>
      <c r="E210" s="30"/>
      <c r="F210" s="105"/>
      <c r="G210" s="106"/>
      <c r="H210" s="7"/>
      <c r="I210" s="7">
        <f>H208</f>
        <v>100</v>
      </c>
      <c r="J210" s="380"/>
      <c r="K210" s="21" t="s">
        <v>6</v>
      </c>
      <c r="L210" s="355"/>
      <c r="M210" s="355"/>
      <c r="N210" s="355"/>
      <c r="O210" s="7"/>
      <c r="P210" s="7">
        <f>O208</f>
        <v>100</v>
      </c>
      <c r="Q210" s="7">
        <f t="shared" si="39"/>
        <v>100</v>
      </c>
      <c r="R210" s="176" t="s">
        <v>31</v>
      </c>
      <c r="S210" s="675"/>
      <c r="V210" s="180"/>
    </row>
    <row r="211" spans="1:22" s="180" customFormat="1" ht="33" x14ac:dyDescent="0.3">
      <c r="A211" s="654"/>
      <c r="B211" s="673"/>
      <c r="C211" s="257" t="s">
        <v>395</v>
      </c>
      <c r="D211" s="22" t="s">
        <v>502</v>
      </c>
      <c r="E211" s="354"/>
      <c r="F211" s="203"/>
      <c r="G211" s="353"/>
      <c r="H211" s="353"/>
      <c r="I211" s="353"/>
      <c r="J211" s="58" t="s">
        <v>395</v>
      </c>
      <c r="K211" s="22" t="str">
        <f>D211</f>
        <v xml:space="preserve">Реализация дополнительных общеразвивающих программ </v>
      </c>
      <c r="L211" s="357"/>
      <c r="M211" s="258"/>
      <c r="N211" s="258"/>
      <c r="O211" s="353"/>
      <c r="P211" s="265"/>
      <c r="Q211" s="353"/>
      <c r="R211" s="167"/>
      <c r="S211" s="675"/>
      <c r="T211" s="438"/>
    </row>
    <row r="212" spans="1:22" s="180" customFormat="1" x14ac:dyDescent="0.3">
      <c r="A212" s="654"/>
      <c r="B212" s="673"/>
      <c r="C212" s="379" t="s">
        <v>575</v>
      </c>
      <c r="D212" s="361" t="s">
        <v>498</v>
      </c>
      <c r="E212" s="357" t="s">
        <v>498</v>
      </c>
      <c r="F212" s="357" t="s">
        <v>498</v>
      </c>
      <c r="G212" s="357" t="s">
        <v>498</v>
      </c>
      <c r="H212" s="179" t="s">
        <v>498</v>
      </c>
      <c r="I212" s="357"/>
      <c r="J212" s="379" t="s">
        <v>575</v>
      </c>
      <c r="K212" s="271" t="s">
        <v>203</v>
      </c>
      <c r="L212" s="357" t="s">
        <v>204</v>
      </c>
      <c r="M212" s="272">
        <v>54954</v>
      </c>
      <c r="N212" s="272">
        <v>54954</v>
      </c>
      <c r="O212" s="358">
        <f t="shared" si="31"/>
        <v>100</v>
      </c>
      <c r="P212" s="265"/>
      <c r="Q212" s="353"/>
      <c r="R212" s="266"/>
      <c r="S212" s="675"/>
      <c r="T212" s="438"/>
    </row>
    <row r="213" spans="1:22" ht="59.25" customHeight="1" x14ac:dyDescent="0.3">
      <c r="A213" s="654"/>
      <c r="B213" s="673"/>
      <c r="C213" s="385"/>
      <c r="D213" s="21" t="s">
        <v>6</v>
      </c>
      <c r="E213" s="30"/>
      <c r="F213" s="105"/>
      <c r="G213" s="106"/>
      <c r="H213" s="7"/>
      <c r="I213" s="7" t="s">
        <v>555</v>
      </c>
      <c r="J213" s="380"/>
      <c r="K213" s="21" t="s">
        <v>6</v>
      </c>
      <c r="L213" s="355"/>
      <c r="M213" s="355"/>
      <c r="N213" s="355"/>
      <c r="O213" s="7"/>
      <c r="P213" s="7">
        <f>O212</f>
        <v>100</v>
      </c>
      <c r="Q213" s="7">
        <f>P213</f>
        <v>100</v>
      </c>
      <c r="R213" s="176" t="s">
        <v>31</v>
      </c>
      <c r="S213" s="675"/>
      <c r="V213" s="180"/>
    </row>
    <row r="214" spans="1:22" ht="50.25" customHeight="1" x14ac:dyDescent="0.3">
      <c r="A214" s="654"/>
      <c r="B214" s="673"/>
      <c r="C214" s="373" t="s">
        <v>401</v>
      </c>
      <c r="D214" s="22" t="s">
        <v>306</v>
      </c>
      <c r="E214" s="357"/>
      <c r="F214" s="179"/>
      <c r="G214" s="358"/>
      <c r="H214" s="353"/>
      <c r="I214" s="353"/>
      <c r="J214" s="373" t="s">
        <v>401</v>
      </c>
      <c r="K214" s="22" t="str">
        <f>D214</f>
        <v>Организация мероприятий по подготовке спортивных сборных команд</v>
      </c>
      <c r="L214" s="357"/>
      <c r="M214" s="357"/>
      <c r="N214" s="357"/>
      <c r="O214" s="358"/>
      <c r="P214" s="265"/>
      <c r="Q214" s="353"/>
      <c r="R214" s="167"/>
      <c r="S214" s="675"/>
    </row>
    <row r="215" spans="1:22" ht="66" customHeight="1" x14ac:dyDescent="0.3">
      <c r="A215" s="654"/>
      <c r="B215" s="673"/>
      <c r="C215" s="386" t="s">
        <v>576</v>
      </c>
      <c r="D215" s="361" t="s">
        <v>307</v>
      </c>
      <c r="E215" s="357" t="s">
        <v>25</v>
      </c>
      <c r="F215" s="179">
        <v>5</v>
      </c>
      <c r="G215" s="358">
        <v>34.9</v>
      </c>
      <c r="H215" s="358">
        <f>IF(G215/F215*100&gt;100,100,G215/F215*100)</f>
        <v>100</v>
      </c>
      <c r="I215" s="353"/>
      <c r="J215" s="386" t="s">
        <v>576</v>
      </c>
      <c r="K215" s="361" t="s">
        <v>400</v>
      </c>
      <c r="L215" s="357" t="s">
        <v>38</v>
      </c>
      <c r="M215" s="272">
        <v>85</v>
      </c>
      <c r="N215" s="272">
        <v>158</v>
      </c>
      <c r="O215" s="358">
        <f t="shared" si="31"/>
        <v>110</v>
      </c>
      <c r="P215" s="265"/>
      <c r="Q215" s="353"/>
      <c r="R215" s="266"/>
      <c r="S215" s="675"/>
    </row>
    <row r="216" spans="1:22" ht="59.25" customHeight="1" x14ac:dyDescent="0.3">
      <c r="A216" s="655"/>
      <c r="B216" s="674"/>
      <c r="C216" s="387"/>
      <c r="D216" s="21" t="s">
        <v>6</v>
      </c>
      <c r="E216" s="30"/>
      <c r="F216" s="100"/>
      <c r="G216" s="103"/>
      <c r="H216" s="7"/>
      <c r="I216" s="7">
        <f>H215</f>
        <v>100</v>
      </c>
      <c r="J216" s="384"/>
      <c r="K216" s="21" t="s">
        <v>6</v>
      </c>
      <c r="L216" s="30"/>
      <c r="M216" s="276"/>
      <c r="N216" s="276"/>
      <c r="O216" s="7"/>
      <c r="P216" s="7">
        <f>O215</f>
        <v>110</v>
      </c>
      <c r="Q216" s="7">
        <f>(I216+P216)/2</f>
        <v>105</v>
      </c>
      <c r="R216" s="176" t="s">
        <v>31</v>
      </c>
      <c r="S216" s="676"/>
    </row>
    <row r="217" spans="1:22" ht="99" x14ac:dyDescent="0.3">
      <c r="A217" s="653" t="s">
        <v>77</v>
      </c>
      <c r="B217" s="662" t="s">
        <v>533</v>
      </c>
      <c r="C217" s="257" t="s">
        <v>12</v>
      </c>
      <c r="D217" s="22" t="s">
        <v>513</v>
      </c>
      <c r="E217" s="357"/>
      <c r="F217" s="179"/>
      <c r="G217" s="358"/>
      <c r="H217" s="353"/>
      <c r="I217" s="353"/>
      <c r="J217" s="58" t="s">
        <v>12</v>
      </c>
      <c r="K217" s="22" t="str">
        <f>D217</f>
        <v>Реализация дополнительных образовательных программ спортивной подготовки по олимпийским видам спорта 
Лыжные гонки (этап начальной подготовки)</v>
      </c>
      <c r="L217" s="357"/>
      <c r="M217" s="258"/>
      <c r="N217" s="258"/>
      <c r="O217" s="353"/>
      <c r="P217" s="158"/>
      <c r="Q217" s="353"/>
      <c r="R217" s="167"/>
      <c r="S217" s="668" t="s">
        <v>280</v>
      </c>
    </row>
    <row r="218" spans="1:22" ht="99" x14ac:dyDescent="0.3">
      <c r="A218" s="654"/>
      <c r="B218" s="663"/>
      <c r="C218" s="17" t="s">
        <v>7</v>
      </c>
      <c r="D218" s="259" t="s">
        <v>495</v>
      </c>
      <c r="E218" s="357" t="s">
        <v>38</v>
      </c>
      <c r="F218" s="179">
        <v>0</v>
      </c>
      <c r="G218" s="179">
        <v>0</v>
      </c>
      <c r="H218" s="358">
        <v>100</v>
      </c>
      <c r="I218" s="353"/>
      <c r="J218" s="379" t="s">
        <v>37</v>
      </c>
      <c r="K218" s="361" t="s">
        <v>496</v>
      </c>
      <c r="L218" s="357" t="s">
        <v>38</v>
      </c>
      <c r="M218" s="357">
        <v>36</v>
      </c>
      <c r="N218" s="357">
        <v>36</v>
      </c>
      <c r="O218" s="358">
        <f t="shared" si="31"/>
        <v>100</v>
      </c>
      <c r="P218" s="265"/>
      <c r="Q218" s="353"/>
      <c r="R218" s="266"/>
      <c r="S218" s="675"/>
    </row>
    <row r="219" spans="1:22" ht="181.5" x14ac:dyDescent="0.3">
      <c r="A219" s="654"/>
      <c r="B219" s="663"/>
      <c r="C219" s="17" t="s">
        <v>8</v>
      </c>
      <c r="D219" s="259" t="s">
        <v>497</v>
      </c>
      <c r="E219" s="357" t="s">
        <v>38</v>
      </c>
      <c r="F219" s="357" t="s">
        <v>498</v>
      </c>
      <c r="G219" s="357" t="s">
        <v>498</v>
      </c>
      <c r="H219" s="179" t="s">
        <v>498</v>
      </c>
      <c r="I219" s="357"/>
      <c r="J219" s="379"/>
      <c r="K219" s="361"/>
      <c r="L219" s="357"/>
      <c r="M219" s="357"/>
      <c r="N219" s="357"/>
      <c r="O219" s="358"/>
      <c r="P219" s="265"/>
      <c r="Q219" s="353"/>
      <c r="R219" s="266"/>
      <c r="S219" s="675"/>
    </row>
    <row r="220" spans="1:22" ht="33" x14ac:dyDescent="0.3">
      <c r="A220" s="654"/>
      <c r="B220" s="663"/>
      <c r="C220" s="357"/>
      <c r="D220" s="21" t="s">
        <v>6</v>
      </c>
      <c r="E220" s="30"/>
      <c r="F220" s="105"/>
      <c r="G220" s="106"/>
      <c r="H220" s="7"/>
      <c r="I220" s="7">
        <f>H218</f>
        <v>100</v>
      </c>
      <c r="J220" s="380"/>
      <c r="K220" s="21" t="s">
        <v>6</v>
      </c>
      <c r="L220" s="355"/>
      <c r="M220" s="355"/>
      <c r="N220" s="355"/>
      <c r="O220" s="7"/>
      <c r="P220" s="7">
        <f>O218</f>
        <v>100</v>
      </c>
      <c r="Q220" s="7">
        <f t="shared" ref="Q220:Q232" si="42">(I220+P220)/2</f>
        <v>100</v>
      </c>
      <c r="R220" s="176" t="s">
        <v>31</v>
      </c>
      <c r="S220" s="677"/>
      <c r="V220" s="180"/>
    </row>
    <row r="221" spans="1:22" ht="115.5" x14ac:dyDescent="0.3">
      <c r="A221" s="654"/>
      <c r="B221" s="663"/>
      <c r="C221" s="354" t="s">
        <v>13</v>
      </c>
      <c r="D221" s="22" t="s">
        <v>514</v>
      </c>
      <c r="E221" s="357"/>
      <c r="F221" s="179"/>
      <c r="G221" s="358"/>
      <c r="H221" s="353"/>
      <c r="I221" s="353"/>
      <c r="J221" s="58" t="str">
        <f>C221</f>
        <v>II</v>
      </c>
      <c r="K221" s="22" t="str">
        <f>D221</f>
        <v>Реализация дополнительных образовательных программ спортивной подготовки по олимпийским видам спорта 
Лыжные гонки (учебно-тренировочный этап (этап спортивной специализации))</v>
      </c>
      <c r="L221" s="357"/>
      <c r="M221" s="258"/>
      <c r="N221" s="258"/>
      <c r="O221" s="353"/>
      <c r="P221" s="158"/>
      <c r="Q221" s="353"/>
      <c r="R221" s="167"/>
      <c r="S221" s="675"/>
    </row>
    <row r="222" spans="1:22" ht="99" x14ac:dyDescent="0.3">
      <c r="A222" s="654"/>
      <c r="B222" s="663"/>
      <c r="C222" s="17" t="s">
        <v>14</v>
      </c>
      <c r="D222" s="259" t="s">
        <v>495</v>
      </c>
      <c r="E222" s="357" t="s">
        <v>38</v>
      </c>
      <c r="F222" s="179">
        <v>0</v>
      </c>
      <c r="G222" s="179">
        <v>0</v>
      </c>
      <c r="H222" s="358">
        <v>100</v>
      </c>
      <c r="I222" s="353"/>
      <c r="J222" s="379" t="str">
        <f t="shared" ref="J222:J237" si="43">C222</f>
        <v>2.1.</v>
      </c>
      <c r="K222" s="361" t="s">
        <v>496</v>
      </c>
      <c r="L222" s="357" t="s">
        <v>38</v>
      </c>
      <c r="M222" s="357">
        <v>30</v>
      </c>
      <c r="N222" s="357">
        <v>30</v>
      </c>
      <c r="O222" s="358">
        <f t="shared" ref="O222:O278" si="44">IF(N222/M222*100&gt;110,110,N222/M222*100)</f>
        <v>100</v>
      </c>
      <c r="P222" s="265"/>
      <c r="Q222" s="353"/>
      <c r="R222" s="266"/>
      <c r="S222" s="675"/>
    </row>
    <row r="223" spans="1:22" ht="181.5" x14ac:dyDescent="0.3">
      <c r="A223" s="654"/>
      <c r="B223" s="663"/>
      <c r="C223" s="17" t="s">
        <v>15</v>
      </c>
      <c r="D223" s="259" t="s">
        <v>497</v>
      </c>
      <c r="E223" s="357" t="s">
        <v>38</v>
      </c>
      <c r="F223" s="357" t="s">
        <v>498</v>
      </c>
      <c r="G223" s="357" t="s">
        <v>498</v>
      </c>
      <c r="H223" s="179" t="s">
        <v>498</v>
      </c>
      <c r="I223" s="357"/>
      <c r="J223" s="379"/>
      <c r="K223" s="361"/>
      <c r="L223" s="357"/>
      <c r="M223" s="357"/>
      <c r="N223" s="357"/>
      <c r="O223" s="358"/>
      <c r="P223" s="265"/>
      <c r="Q223" s="353"/>
      <c r="R223" s="266"/>
      <c r="S223" s="675"/>
    </row>
    <row r="224" spans="1:22" ht="33" x14ac:dyDescent="0.3">
      <c r="A224" s="654"/>
      <c r="B224" s="663"/>
      <c r="C224" s="357"/>
      <c r="D224" s="21" t="s">
        <v>6</v>
      </c>
      <c r="E224" s="30"/>
      <c r="F224" s="105"/>
      <c r="G224" s="106"/>
      <c r="H224" s="7"/>
      <c r="I224" s="7">
        <f>H222</f>
        <v>100</v>
      </c>
      <c r="J224" s="380"/>
      <c r="K224" s="21" t="s">
        <v>6</v>
      </c>
      <c r="L224" s="355"/>
      <c r="M224" s="355"/>
      <c r="N224" s="355"/>
      <c r="O224" s="7"/>
      <c r="P224" s="7">
        <f>O222</f>
        <v>100</v>
      </c>
      <c r="Q224" s="7">
        <f t="shared" si="42"/>
        <v>100</v>
      </c>
      <c r="R224" s="176" t="s">
        <v>31</v>
      </c>
      <c r="S224" s="677"/>
      <c r="V224" s="180"/>
    </row>
    <row r="225" spans="1:22" ht="99" x14ac:dyDescent="0.3">
      <c r="A225" s="654"/>
      <c r="B225" s="663"/>
      <c r="C225" s="354" t="s">
        <v>28</v>
      </c>
      <c r="D225" s="22" t="s">
        <v>534</v>
      </c>
      <c r="E225" s="354"/>
      <c r="F225" s="203"/>
      <c r="G225" s="353"/>
      <c r="H225" s="353"/>
      <c r="I225" s="353"/>
      <c r="J225" s="58" t="str">
        <f t="shared" si="43"/>
        <v>III</v>
      </c>
      <c r="K225" s="22" t="str">
        <f>D225</f>
        <v>Реализация дополнительных образовательных программ спортивной подготовки по олимпийским видам спорта 
Футбол (этап начальной подготовки)</v>
      </c>
      <c r="L225" s="357"/>
      <c r="M225" s="358"/>
      <c r="N225" s="358"/>
      <c r="O225" s="353"/>
      <c r="P225" s="265"/>
      <c r="Q225" s="353"/>
      <c r="R225" s="167"/>
      <c r="S225" s="675"/>
    </row>
    <row r="226" spans="1:22" ht="99" x14ac:dyDescent="0.3">
      <c r="A226" s="654"/>
      <c r="B226" s="663"/>
      <c r="C226" s="17" t="s">
        <v>29</v>
      </c>
      <c r="D226" s="259" t="s">
        <v>495</v>
      </c>
      <c r="E226" s="357" t="s">
        <v>38</v>
      </c>
      <c r="F226" s="179">
        <v>0</v>
      </c>
      <c r="G226" s="179">
        <v>0</v>
      </c>
      <c r="H226" s="358">
        <v>100</v>
      </c>
      <c r="I226" s="353"/>
      <c r="J226" s="379" t="str">
        <f t="shared" si="43"/>
        <v>3.1.</v>
      </c>
      <c r="K226" s="361" t="s">
        <v>496</v>
      </c>
      <c r="L226" s="357" t="s">
        <v>38</v>
      </c>
      <c r="M226" s="357">
        <v>126</v>
      </c>
      <c r="N226" s="357">
        <v>126</v>
      </c>
      <c r="O226" s="358">
        <f t="shared" si="44"/>
        <v>100</v>
      </c>
      <c r="P226" s="265"/>
      <c r="Q226" s="353"/>
      <c r="R226" s="266"/>
      <c r="S226" s="675"/>
    </row>
    <row r="227" spans="1:22" ht="181.5" x14ac:dyDescent="0.3">
      <c r="A227" s="654"/>
      <c r="B227" s="663"/>
      <c r="C227" s="17" t="s">
        <v>30</v>
      </c>
      <c r="D227" s="259" t="s">
        <v>497</v>
      </c>
      <c r="E227" s="357" t="s">
        <v>38</v>
      </c>
      <c r="F227" s="357" t="s">
        <v>498</v>
      </c>
      <c r="G227" s="357" t="s">
        <v>498</v>
      </c>
      <c r="H227" s="179" t="s">
        <v>498</v>
      </c>
      <c r="I227" s="357"/>
      <c r="J227" s="379"/>
      <c r="K227" s="361"/>
      <c r="L227" s="357"/>
      <c r="M227" s="357"/>
      <c r="N227" s="357"/>
      <c r="O227" s="358"/>
      <c r="P227" s="265"/>
      <c r="Q227" s="353"/>
      <c r="R227" s="266"/>
      <c r="S227" s="675"/>
    </row>
    <row r="228" spans="1:22" ht="33" x14ac:dyDescent="0.3">
      <c r="A228" s="654"/>
      <c r="B228" s="663"/>
      <c r="C228" s="357"/>
      <c r="D228" s="21" t="s">
        <v>6</v>
      </c>
      <c r="E228" s="30"/>
      <c r="F228" s="105"/>
      <c r="G228" s="106"/>
      <c r="H228" s="7"/>
      <c r="I228" s="7">
        <f>H226</f>
        <v>100</v>
      </c>
      <c r="J228" s="380"/>
      <c r="K228" s="21" t="s">
        <v>6</v>
      </c>
      <c r="L228" s="355"/>
      <c r="M228" s="355"/>
      <c r="N228" s="355"/>
      <c r="O228" s="7"/>
      <c r="P228" s="7">
        <f>O226</f>
        <v>100</v>
      </c>
      <c r="Q228" s="7">
        <f t="shared" si="42"/>
        <v>100</v>
      </c>
      <c r="R228" s="176" t="s">
        <v>31</v>
      </c>
      <c r="S228" s="677"/>
      <c r="V228" s="180"/>
    </row>
    <row r="229" spans="1:22" ht="115.5" x14ac:dyDescent="0.3">
      <c r="A229" s="654"/>
      <c r="B229" s="663"/>
      <c r="C229" s="257" t="s">
        <v>42</v>
      </c>
      <c r="D229" s="22" t="s">
        <v>535</v>
      </c>
      <c r="E229" s="354"/>
      <c r="F229" s="203"/>
      <c r="G229" s="353"/>
      <c r="H229" s="353"/>
      <c r="I229" s="353"/>
      <c r="J229" s="58" t="str">
        <f t="shared" si="43"/>
        <v>IV</v>
      </c>
      <c r="K229" s="22" t="str">
        <f>D229</f>
        <v>Реализация дополнительных образовательных программ спортивной подготовки по олимпийским видам спорта 
Футбол (учебно-тренировочный этап (этап спортивной специализации))</v>
      </c>
      <c r="L229" s="357"/>
      <c r="M229" s="358"/>
      <c r="N229" s="358"/>
      <c r="O229" s="353"/>
      <c r="P229" s="265"/>
      <c r="Q229" s="353"/>
      <c r="R229" s="167"/>
      <c r="S229" s="675"/>
    </row>
    <row r="230" spans="1:22" ht="99" x14ac:dyDescent="0.3">
      <c r="A230" s="654"/>
      <c r="B230" s="663"/>
      <c r="C230" s="17" t="s">
        <v>43</v>
      </c>
      <c r="D230" s="259" t="s">
        <v>495</v>
      </c>
      <c r="E230" s="357" t="s">
        <v>38</v>
      </c>
      <c r="F230" s="179">
        <v>0</v>
      </c>
      <c r="G230" s="179">
        <v>0</v>
      </c>
      <c r="H230" s="358">
        <v>100</v>
      </c>
      <c r="I230" s="353"/>
      <c r="J230" s="379" t="str">
        <f t="shared" si="43"/>
        <v>4.1.</v>
      </c>
      <c r="K230" s="361" t="s">
        <v>496</v>
      </c>
      <c r="L230" s="357" t="s">
        <v>38</v>
      </c>
      <c r="M230" s="357">
        <v>144</v>
      </c>
      <c r="N230" s="357">
        <v>144</v>
      </c>
      <c r="O230" s="358">
        <f t="shared" si="44"/>
        <v>100</v>
      </c>
      <c r="P230" s="265"/>
      <c r="Q230" s="353"/>
      <c r="R230" s="266"/>
      <c r="S230" s="675"/>
    </row>
    <row r="231" spans="1:22" ht="181.5" x14ac:dyDescent="0.3">
      <c r="A231" s="654"/>
      <c r="B231" s="663"/>
      <c r="C231" s="357" t="s">
        <v>137</v>
      </c>
      <c r="D231" s="259" t="s">
        <v>497</v>
      </c>
      <c r="E231" s="357" t="s">
        <v>38</v>
      </c>
      <c r="F231" s="357" t="s">
        <v>498</v>
      </c>
      <c r="G231" s="357" t="s">
        <v>498</v>
      </c>
      <c r="H231" s="179" t="s">
        <v>498</v>
      </c>
      <c r="I231" s="357"/>
      <c r="J231" s="379"/>
      <c r="K231" s="361"/>
      <c r="L231" s="357"/>
      <c r="M231" s="357"/>
      <c r="N231" s="357"/>
      <c r="O231" s="358"/>
      <c r="P231" s="265"/>
      <c r="Q231" s="353"/>
      <c r="R231" s="266"/>
      <c r="S231" s="675"/>
    </row>
    <row r="232" spans="1:22" ht="33" x14ac:dyDescent="0.3">
      <c r="A232" s="654"/>
      <c r="B232" s="663"/>
      <c r="C232" s="155"/>
      <c r="D232" s="21" t="s">
        <v>6</v>
      </c>
      <c r="E232" s="30"/>
      <c r="F232" s="105"/>
      <c r="G232" s="106"/>
      <c r="H232" s="7"/>
      <c r="I232" s="7">
        <f>H230</f>
        <v>100</v>
      </c>
      <c r="J232" s="380"/>
      <c r="K232" s="21" t="s">
        <v>6</v>
      </c>
      <c r="L232" s="355"/>
      <c r="M232" s="355"/>
      <c r="N232" s="355"/>
      <c r="O232" s="7"/>
      <c r="P232" s="7">
        <f>O230</f>
        <v>100</v>
      </c>
      <c r="Q232" s="7">
        <f t="shared" si="42"/>
        <v>100</v>
      </c>
      <c r="R232" s="176" t="s">
        <v>31</v>
      </c>
      <c r="S232" s="677"/>
      <c r="V232" s="180"/>
    </row>
    <row r="233" spans="1:22" s="270" customFormat="1" ht="33" x14ac:dyDescent="0.3">
      <c r="A233" s="654"/>
      <c r="B233" s="663"/>
      <c r="C233" s="257" t="s">
        <v>164</v>
      </c>
      <c r="D233" s="22" t="s">
        <v>502</v>
      </c>
      <c r="E233" s="354"/>
      <c r="F233" s="203"/>
      <c r="G233" s="353"/>
      <c r="H233" s="353"/>
      <c r="I233" s="353"/>
      <c r="J233" s="257" t="s">
        <v>164</v>
      </c>
      <c r="K233" s="22" t="str">
        <f>D233</f>
        <v xml:space="preserve">Реализация дополнительных общеразвивающих программ </v>
      </c>
      <c r="L233" s="354"/>
      <c r="M233" s="37"/>
      <c r="N233" s="37"/>
      <c r="O233" s="353"/>
      <c r="P233" s="265"/>
      <c r="Q233" s="353"/>
      <c r="R233" s="167"/>
      <c r="S233" s="675"/>
      <c r="T233" s="438"/>
      <c r="U233" s="277"/>
    </row>
    <row r="234" spans="1:22" x14ac:dyDescent="0.3">
      <c r="A234" s="654"/>
      <c r="B234" s="663"/>
      <c r="C234" s="17" t="s">
        <v>165</v>
      </c>
      <c r="D234" s="361" t="s">
        <v>498</v>
      </c>
      <c r="E234" s="361" t="s">
        <v>498</v>
      </c>
      <c r="F234" s="361" t="s">
        <v>498</v>
      </c>
      <c r="G234" s="361" t="s">
        <v>498</v>
      </c>
      <c r="H234" s="179" t="s">
        <v>498</v>
      </c>
      <c r="I234" s="361"/>
      <c r="J234" s="17" t="s">
        <v>165</v>
      </c>
      <c r="K234" s="271" t="s">
        <v>203</v>
      </c>
      <c r="L234" s="357" t="s">
        <v>204</v>
      </c>
      <c r="M234" s="272">
        <v>15392</v>
      </c>
      <c r="N234" s="272">
        <v>16336</v>
      </c>
      <c r="O234" s="358">
        <f t="shared" si="44"/>
        <v>106.13305613305613</v>
      </c>
      <c r="P234" s="265"/>
      <c r="Q234" s="353"/>
      <c r="R234" s="266"/>
      <c r="S234" s="675"/>
    </row>
    <row r="235" spans="1:22" ht="33" x14ac:dyDescent="0.3">
      <c r="A235" s="654"/>
      <c r="B235" s="663"/>
      <c r="C235" s="155"/>
      <c r="D235" s="21" t="s">
        <v>6</v>
      </c>
      <c r="E235" s="30"/>
      <c r="F235" s="105"/>
      <c r="G235" s="106"/>
      <c r="H235" s="7"/>
      <c r="I235" s="7" t="s">
        <v>555</v>
      </c>
      <c r="J235" s="380"/>
      <c r="K235" s="21" t="s">
        <v>6</v>
      </c>
      <c r="L235" s="355"/>
      <c r="M235" s="355"/>
      <c r="N235" s="355"/>
      <c r="O235" s="7"/>
      <c r="P235" s="7">
        <f>O234</f>
        <v>106.13305613305613</v>
      </c>
      <c r="Q235" s="7">
        <f>P235</f>
        <v>106.13305613305613</v>
      </c>
      <c r="R235" s="176" t="s">
        <v>31</v>
      </c>
      <c r="S235" s="677"/>
      <c r="V235" s="180"/>
    </row>
    <row r="236" spans="1:22" s="270" customFormat="1" ht="49.5" x14ac:dyDescent="0.3">
      <c r="A236" s="654"/>
      <c r="B236" s="663"/>
      <c r="C236" s="257" t="s">
        <v>170</v>
      </c>
      <c r="D236" s="22" t="s">
        <v>306</v>
      </c>
      <c r="E236" s="354"/>
      <c r="F236" s="203"/>
      <c r="G236" s="353"/>
      <c r="H236" s="353"/>
      <c r="I236" s="353"/>
      <c r="J236" s="58" t="str">
        <f t="shared" si="43"/>
        <v>VI</v>
      </c>
      <c r="K236" s="22" t="str">
        <f>D236</f>
        <v>Организация мероприятий по подготовке спортивных сборных команд</v>
      </c>
      <c r="L236" s="354"/>
      <c r="M236" s="37"/>
      <c r="N236" s="37"/>
      <c r="O236" s="353"/>
      <c r="P236" s="265"/>
      <c r="Q236" s="353"/>
      <c r="R236" s="167"/>
      <c r="S236" s="675"/>
      <c r="T236" s="438"/>
      <c r="U236" s="277"/>
    </row>
    <row r="237" spans="1:22" ht="82.5" x14ac:dyDescent="0.3">
      <c r="A237" s="654"/>
      <c r="B237" s="663"/>
      <c r="C237" s="17" t="s">
        <v>171</v>
      </c>
      <c r="D237" s="361" t="s">
        <v>307</v>
      </c>
      <c r="E237" s="357" t="s">
        <v>25</v>
      </c>
      <c r="F237" s="179">
        <v>5</v>
      </c>
      <c r="G237" s="358">
        <v>15.7</v>
      </c>
      <c r="H237" s="358">
        <f>IF(G237/F237*100&gt;100,100,G237/F237*100)</f>
        <v>100</v>
      </c>
      <c r="I237" s="353"/>
      <c r="J237" s="379" t="str">
        <f t="shared" si="43"/>
        <v>6.1.</v>
      </c>
      <c r="K237" s="361" t="s">
        <v>400</v>
      </c>
      <c r="L237" s="357" t="s">
        <v>38</v>
      </c>
      <c r="M237" s="272">
        <v>75</v>
      </c>
      <c r="N237" s="272">
        <v>73</v>
      </c>
      <c r="O237" s="358">
        <f t="shared" si="44"/>
        <v>97.333333333333343</v>
      </c>
      <c r="P237" s="265"/>
      <c r="Q237" s="353"/>
      <c r="R237" s="266"/>
      <c r="S237" s="675"/>
    </row>
    <row r="238" spans="1:22" ht="33" x14ac:dyDescent="0.3">
      <c r="A238" s="655"/>
      <c r="B238" s="664"/>
      <c r="C238" s="17"/>
      <c r="D238" s="21" t="s">
        <v>6</v>
      </c>
      <c r="E238" s="30"/>
      <c r="F238" s="100"/>
      <c r="G238" s="103"/>
      <c r="H238" s="7"/>
      <c r="I238" s="7">
        <f>H237</f>
        <v>100</v>
      </c>
      <c r="J238" s="384"/>
      <c r="K238" s="21" t="s">
        <v>6</v>
      </c>
      <c r="L238" s="30"/>
      <c r="M238" s="101"/>
      <c r="N238" s="101"/>
      <c r="O238" s="7"/>
      <c r="P238" s="7">
        <f>O237</f>
        <v>97.333333333333343</v>
      </c>
      <c r="Q238" s="7">
        <f>(I238+P238)/2</f>
        <v>98.666666666666671</v>
      </c>
      <c r="R238" s="176" t="s">
        <v>361</v>
      </c>
      <c r="S238" s="678"/>
    </row>
    <row r="239" spans="1:22" ht="99" x14ac:dyDescent="0.3">
      <c r="A239" s="653" t="s">
        <v>78</v>
      </c>
      <c r="B239" s="662" t="s">
        <v>536</v>
      </c>
      <c r="C239" s="257" t="s">
        <v>12</v>
      </c>
      <c r="D239" s="22" t="s">
        <v>537</v>
      </c>
      <c r="E239" s="354"/>
      <c r="F239" s="203"/>
      <c r="G239" s="353"/>
      <c r="H239" s="353"/>
      <c r="I239" s="353"/>
      <c r="J239" s="58" t="str">
        <f>C239</f>
        <v>I</v>
      </c>
      <c r="K239" s="22" t="str">
        <f>D239</f>
        <v>Реализация дополнительных образовательных программ спортивной подготовки по олимпийским видам спорта 
Хоккей (этап начальной подготовки)</v>
      </c>
      <c r="L239" s="357"/>
      <c r="M239" s="358"/>
      <c r="N239" s="358"/>
      <c r="O239" s="353"/>
      <c r="P239" s="265"/>
      <c r="Q239" s="353"/>
      <c r="R239" s="167"/>
      <c r="S239" s="668" t="s">
        <v>279</v>
      </c>
    </row>
    <row r="240" spans="1:22" ht="99" x14ac:dyDescent="0.3">
      <c r="A240" s="654"/>
      <c r="B240" s="663"/>
      <c r="C240" s="17" t="s">
        <v>7</v>
      </c>
      <c r="D240" s="259" t="s">
        <v>495</v>
      </c>
      <c r="E240" s="357" t="s">
        <v>38</v>
      </c>
      <c r="F240" s="179">
        <v>0</v>
      </c>
      <c r="G240" s="174">
        <v>0</v>
      </c>
      <c r="H240" s="358">
        <v>100</v>
      </c>
      <c r="I240" s="353"/>
      <c r="J240" s="379" t="str">
        <f>C240</f>
        <v>1.1.</v>
      </c>
      <c r="K240" s="361" t="s">
        <v>496</v>
      </c>
      <c r="L240" s="357" t="s">
        <v>38</v>
      </c>
      <c r="M240" s="272">
        <v>130</v>
      </c>
      <c r="N240" s="272">
        <v>130</v>
      </c>
      <c r="O240" s="358">
        <f t="shared" si="44"/>
        <v>100</v>
      </c>
      <c r="P240" s="265"/>
      <c r="Q240" s="353"/>
      <c r="R240" s="266"/>
      <c r="S240" s="669"/>
    </row>
    <row r="241" spans="1:19" ht="181.5" x14ac:dyDescent="0.3">
      <c r="A241" s="654"/>
      <c r="B241" s="663"/>
      <c r="C241" s="17" t="s">
        <v>8</v>
      </c>
      <c r="D241" s="259" t="s">
        <v>497</v>
      </c>
      <c r="E241" s="357" t="s">
        <v>38</v>
      </c>
      <c r="F241" s="357" t="s">
        <v>498</v>
      </c>
      <c r="G241" s="357" t="s">
        <v>498</v>
      </c>
      <c r="H241" s="179" t="s">
        <v>498</v>
      </c>
      <c r="I241" s="357"/>
      <c r="J241" s="379"/>
      <c r="K241" s="361"/>
      <c r="L241" s="357"/>
      <c r="M241" s="261"/>
      <c r="N241" s="261"/>
      <c r="O241" s="358"/>
      <c r="P241" s="265"/>
      <c r="Q241" s="353"/>
      <c r="R241" s="266"/>
      <c r="S241" s="669"/>
    </row>
    <row r="242" spans="1:19" ht="33" x14ac:dyDescent="0.3">
      <c r="A242" s="654"/>
      <c r="B242" s="663"/>
      <c r="C242" s="17"/>
      <c r="D242" s="21" t="s">
        <v>6</v>
      </c>
      <c r="E242" s="30"/>
      <c r="F242" s="100"/>
      <c r="G242" s="103"/>
      <c r="H242" s="7"/>
      <c r="I242" s="7">
        <f>H240</f>
        <v>100</v>
      </c>
      <c r="J242" s="384"/>
      <c r="K242" s="21" t="s">
        <v>6</v>
      </c>
      <c r="L242" s="30"/>
      <c r="M242" s="278"/>
      <c r="N242" s="278"/>
      <c r="O242" s="7"/>
      <c r="P242" s="7">
        <f>O240</f>
        <v>100</v>
      </c>
      <c r="Q242" s="7">
        <f>(I242+P242)/2</f>
        <v>100</v>
      </c>
      <c r="R242" s="176" t="s">
        <v>31</v>
      </c>
      <c r="S242" s="670"/>
    </row>
    <row r="243" spans="1:19" ht="115.5" x14ac:dyDescent="0.3">
      <c r="A243" s="654"/>
      <c r="B243" s="663"/>
      <c r="C243" s="354" t="s">
        <v>13</v>
      </c>
      <c r="D243" s="22" t="s">
        <v>538</v>
      </c>
      <c r="E243" s="354"/>
      <c r="F243" s="203"/>
      <c r="G243" s="353"/>
      <c r="H243" s="353"/>
      <c r="I243" s="353"/>
      <c r="J243" s="58" t="str">
        <f>C243</f>
        <v>II</v>
      </c>
      <c r="K243" s="22" t="str">
        <f>D243</f>
        <v>Реализация дополнительных образовательных программ спортивной подготовки по олимпийским видам спорта 
Хоккей (учебно-тренировочный этап (этап спортивной специализации))</v>
      </c>
      <c r="L243" s="357"/>
      <c r="M243" s="358"/>
      <c r="N243" s="358"/>
      <c r="O243" s="353"/>
      <c r="P243" s="265"/>
      <c r="Q243" s="353"/>
      <c r="R243" s="167"/>
      <c r="S243" s="669"/>
    </row>
    <row r="244" spans="1:19" ht="99" x14ac:dyDescent="0.3">
      <c r="A244" s="654"/>
      <c r="B244" s="663"/>
      <c r="C244" s="17" t="s">
        <v>14</v>
      </c>
      <c r="D244" s="259" t="s">
        <v>495</v>
      </c>
      <c r="E244" s="357" t="s">
        <v>38</v>
      </c>
      <c r="F244" s="179">
        <v>0</v>
      </c>
      <c r="G244" s="174">
        <v>0</v>
      </c>
      <c r="H244" s="358">
        <v>100</v>
      </c>
      <c r="I244" s="353"/>
      <c r="J244" s="379" t="s">
        <v>14</v>
      </c>
      <c r="K244" s="361" t="s">
        <v>496</v>
      </c>
      <c r="L244" s="357" t="s">
        <v>38</v>
      </c>
      <c r="M244" s="357">
        <v>116</v>
      </c>
      <c r="N244" s="357">
        <v>116</v>
      </c>
      <c r="O244" s="358">
        <f t="shared" si="44"/>
        <v>100</v>
      </c>
      <c r="P244" s="265"/>
      <c r="Q244" s="353"/>
      <c r="R244" s="266"/>
      <c r="S244" s="669"/>
    </row>
    <row r="245" spans="1:19" ht="181.5" x14ac:dyDescent="0.3">
      <c r="A245" s="654"/>
      <c r="B245" s="663"/>
      <c r="C245" s="17" t="s">
        <v>15</v>
      </c>
      <c r="D245" s="259" t="s">
        <v>497</v>
      </c>
      <c r="E245" s="357" t="s">
        <v>38</v>
      </c>
      <c r="F245" s="357" t="s">
        <v>498</v>
      </c>
      <c r="G245" s="357" t="s">
        <v>498</v>
      </c>
      <c r="H245" s="179" t="s">
        <v>498</v>
      </c>
      <c r="I245" s="357"/>
      <c r="J245" s="379"/>
      <c r="K245" s="361"/>
      <c r="L245" s="357"/>
      <c r="M245" s="357"/>
      <c r="N245" s="357"/>
      <c r="O245" s="358"/>
      <c r="P245" s="265"/>
      <c r="Q245" s="353"/>
      <c r="R245" s="266"/>
      <c r="S245" s="669"/>
    </row>
    <row r="246" spans="1:19" ht="33" x14ac:dyDescent="0.3">
      <c r="A246" s="654"/>
      <c r="B246" s="663"/>
      <c r="C246" s="17"/>
      <c r="D246" s="21" t="s">
        <v>6</v>
      </c>
      <c r="E246" s="30"/>
      <c r="F246" s="100"/>
      <c r="G246" s="103"/>
      <c r="H246" s="7"/>
      <c r="I246" s="7">
        <f>H244</f>
        <v>100</v>
      </c>
      <c r="J246" s="384"/>
      <c r="K246" s="21" t="s">
        <v>6</v>
      </c>
      <c r="L246" s="30"/>
      <c r="M246" s="101"/>
      <c r="N246" s="101"/>
      <c r="O246" s="7"/>
      <c r="P246" s="7">
        <f>O244</f>
        <v>100</v>
      </c>
      <c r="Q246" s="7">
        <f>(I246+P246)/2</f>
        <v>100</v>
      </c>
      <c r="R246" s="176" t="s">
        <v>31</v>
      </c>
      <c r="S246" s="670"/>
    </row>
    <row r="247" spans="1:19" ht="99" x14ac:dyDescent="0.3">
      <c r="A247" s="654"/>
      <c r="B247" s="663"/>
      <c r="C247" s="257" t="s">
        <v>28</v>
      </c>
      <c r="D247" s="22" t="s">
        <v>539</v>
      </c>
      <c r="E247" s="354"/>
      <c r="F247" s="203"/>
      <c r="G247" s="353"/>
      <c r="H247" s="353"/>
      <c r="I247" s="353"/>
      <c r="J247" s="379" t="str">
        <f>C247</f>
        <v>III</v>
      </c>
      <c r="K247" s="22" t="str">
        <f>D247</f>
        <v>Реализация дополнительных образовательных программ спортивной подготовки по олимпийским видам спорта 
Фигурное катание на коньках (этап начальной подготовки)</v>
      </c>
      <c r="L247" s="357"/>
      <c r="M247" s="357"/>
      <c r="N247" s="357"/>
      <c r="O247" s="353"/>
      <c r="P247" s="265"/>
      <c r="Q247" s="353"/>
      <c r="R247" s="167"/>
      <c r="S247" s="669"/>
    </row>
    <row r="248" spans="1:19" ht="99" x14ac:dyDescent="0.3">
      <c r="A248" s="654"/>
      <c r="B248" s="663"/>
      <c r="C248" s="17" t="s">
        <v>29</v>
      </c>
      <c r="D248" s="259" t="s">
        <v>495</v>
      </c>
      <c r="E248" s="357" t="s">
        <v>38</v>
      </c>
      <c r="F248" s="179">
        <v>0</v>
      </c>
      <c r="G248" s="174">
        <v>0</v>
      </c>
      <c r="H248" s="358">
        <v>100</v>
      </c>
      <c r="I248" s="353"/>
      <c r="J248" s="379" t="str">
        <f t="shared" ref="J248:J252" si="45">C248</f>
        <v>3.1.</v>
      </c>
      <c r="K248" s="361" t="s">
        <v>496</v>
      </c>
      <c r="L248" s="357" t="s">
        <v>38</v>
      </c>
      <c r="M248" s="179">
        <v>56</v>
      </c>
      <c r="N248" s="179">
        <v>56</v>
      </c>
      <c r="O248" s="358">
        <f t="shared" si="44"/>
        <v>100</v>
      </c>
      <c r="P248" s="279"/>
      <c r="Q248" s="353"/>
      <c r="R248" s="266"/>
      <c r="S248" s="669"/>
    </row>
    <row r="249" spans="1:19" ht="181.5" x14ac:dyDescent="0.3">
      <c r="A249" s="654"/>
      <c r="B249" s="663"/>
      <c r="C249" s="17" t="s">
        <v>30</v>
      </c>
      <c r="D249" s="259" t="s">
        <v>497</v>
      </c>
      <c r="E249" s="357" t="s">
        <v>38</v>
      </c>
      <c r="F249" s="357" t="s">
        <v>498</v>
      </c>
      <c r="G249" s="357" t="s">
        <v>498</v>
      </c>
      <c r="H249" s="179" t="s">
        <v>498</v>
      </c>
      <c r="I249" s="357"/>
      <c r="J249" s="379"/>
      <c r="K249" s="361"/>
      <c r="L249" s="357"/>
      <c r="M249" s="258"/>
      <c r="N249" s="258"/>
      <c r="O249" s="358"/>
      <c r="P249" s="265"/>
      <c r="Q249" s="353"/>
      <c r="R249" s="266"/>
      <c r="S249" s="669"/>
    </row>
    <row r="250" spans="1:19" ht="33" x14ac:dyDescent="0.3">
      <c r="A250" s="654"/>
      <c r="B250" s="663"/>
      <c r="C250" s="17"/>
      <c r="D250" s="21" t="s">
        <v>6</v>
      </c>
      <c r="E250" s="30"/>
      <c r="F250" s="100"/>
      <c r="G250" s="103"/>
      <c r="H250" s="7"/>
      <c r="I250" s="7">
        <f>H248</f>
        <v>100</v>
      </c>
      <c r="J250" s="384"/>
      <c r="K250" s="21" t="s">
        <v>6</v>
      </c>
      <c r="L250" s="30"/>
      <c r="M250" s="101"/>
      <c r="N250" s="101"/>
      <c r="O250" s="7"/>
      <c r="P250" s="7">
        <f>O248</f>
        <v>100</v>
      </c>
      <c r="Q250" s="7">
        <f>(I250+P250)/2</f>
        <v>100</v>
      </c>
      <c r="R250" s="176" t="s">
        <v>31</v>
      </c>
      <c r="S250" s="670"/>
    </row>
    <row r="251" spans="1:19" ht="132" x14ac:dyDescent="0.3">
      <c r="A251" s="654"/>
      <c r="B251" s="663"/>
      <c r="C251" s="257" t="s">
        <v>42</v>
      </c>
      <c r="D251" s="22" t="s">
        <v>540</v>
      </c>
      <c r="E251" s="354"/>
      <c r="F251" s="203"/>
      <c r="G251" s="353"/>
      <c r="H251" s="353"/>
      <c r="I251" s="353"/>
      <c r="J251" s="379" t="str">
        <f t="shared" si="45"/>
        <v>IV</v>
      </c>
      <c r="K251" s="22" t="str">
        <f>D251</f>
        <v>Реализация дополнительных образовательных программ спортивной подготовки по олимпийским видам спорта 
Фигурное катание на коньках (учебно-тренировочный этап (этап спортивной специализации))</v>
      </c>
      <c r="L251" s="357"/>
      <c r="M251" s="357"/>
      <c r="N251" s="357"/>
      <c r="O251" s="353"/>
      <c r="P251" s="265"/>
      <c r="Q251" s="353"/>
      <c r="R251" s="167"/>
      <c r="S251" s="669"/>
    </row>
    <row r="252" spans="1:19" ht="99" x14ac:dyDescent="0.3">
      <c r="A252" s="654"/>
      <c r="B252" s="663"/>
      <c r="C252" s="17" t="s">
        <v>43</v>
      </c>
      <c r="D252" s="259" t="s">
        <v>495</v>
      </c>
      <c r="E252" s="357" t="s">
        <v>38</v>
      </c>
      <c r="F252" s="179">
        <v>0</v>
      </c>
      <c r="G252" s="174">
        <v>0</v>
      </c>
      <c r="H252" s="358">
        <v>100</v>
      </c>
      <c r="I252" s="353"/>
      <c r="J252" s="379" t="str">
        <f t="shared" si="45"/>
        <v>4.1.</v>
      </c>
      <c r="K252" s="361" t="s">
        <v>496</v>
      </c>
      <c r="L252" s="357" t="s">
        <v>38</v>
      </c>
      <c r="M252" s="357">
        <v>41</v>
      </c>
      <c r="N252" s="357">
        <v>41</v>
      </c>
      <c r="O252" s="358">
        <f t="shared" si="44"/>
        <v>100</v>
      </c>
      <c r="P252" s="279"/>
      <c r="Q252" s="353"/>
      <c r="R252" s="266"/>
      <c r="S252" s="669"/>
    </row>
    <row r="253" spans="1:19" ht="181.5" x14ac:dyDescent="0.3">
      <c r="A253" s="654"/>
      <c r="B253" s="663"/>
      <c r="C253" s="17" t="s">
        <v>137</v>
      </c>
      <c r="D253" s="259" t="s">
        <v>497</v>
      </c>
      <c r="E253" s="357" t="s">
        <v>38</v>
      </c>
      <c r="F253" s="357" t="s">
        <v>498</v>
      </c>
      <c r="G253" s="357" t="s">
        <v>498</v>
      </c>
      <c r="H253" s="179" t="s">
        <v>498</v>
      </c>
      <c r="I253" s="357"/>
      <c r="J253" s="379"/>
      <c r="K253" s="361"/>
      <c r="L253" s="357"/>
      <c r="M253" s="357"/>
      <c r="N253" s="357"/>
      <c r="O253" s="358"/>
      <c r="P253" s="279"/>
      <c r="Q253" s="353"/>
      <c r="R253" s="266"/>
      <c r="S253" s="669"/>
    </row>
    <row r="254" spans="1:19" ht="33" x14ac:dyDescent="0.3">
      <c r="A254" s="654"/>
      <c r="B254" s="663"/>
      <c r="C254" s="17"/>
      <c r="D254" s="21" t="s">
        <v>6</v>
      </c>
      <c r="E254" s="30"/>
      <c r="F254" s="100"/>
      <c r="G254" s="103"/>
      <c r="H254" s="7"/>
      <c r="I254" s="7">
        <f>H252</f>
        <v>100</v>
      </c>
      <c r="J254" s="380"/>
      <c r="K254" s="21" t="s">
        <v>6</v>
      </c>
      <c r="L254" s="30"/>
      <c r="M254" s="101"/>
      <c r="N254" s="101"/>
      <c r="O254" s="7"/>
      <c r="P254" s="7">
        <f>O252</f>
        <v>100</v>
      </c>
      <c r="Q254" s="7">
        <f>(I254+P254)/2</f>
        <v>100</v>
      </c>
      <c r="R254" s="176" t="s">
        <v>31</v>
      </c>
      <c r="S254" s="670"/>
    </row>
    <row r="255" spans="1:19" ht="33" x14ac:dyDescent="0.3">
      <c r="A255" s="654"/>
      <c r="B255" s="663"/>
      <c r="C255" s="257" t="s">
        <v>164</v>
      </c>
      <c r="D255" s="22" t="s">
        <v>502</v>
      </c>
      <c r="E255" s="354"/>
      <c r="F255" s="203"/>
      <c r="G255" s="353"/>
      <c r="H255" s="353"/>
      <c r="I255" s="353"/>
      <c r="J255" s="58" t="str">
        <f t="shared" ref="J255:J256" si="46">C255</f>
        <v>V</v>
      </c>
      <c r="K255" s="22" t="str">
        <f>D255</f>
        <v xml:space="preserve">Реализация дополнительных общеразвивающих программ </v>
      </c>
      <c r="L255" s="354"/>
      <c r="M255" s="37"/>
      <c r="N255" s="37"/>
      <c r="O255" s="353"/>
      <c r="P255" s="265"/>
      <c r="Q255" s="353"/>
      <c r="R255" s="167"/>
      <c r="S255" s="669"/>
    </row>
    <row r="256" spans="1:19" x14ac:dyDescent="0.3">
      <c r="A256" s="654"/>
      <c r="B256" s="663"/>
      <c r="C256" s="17" t="s">
        <v>165</v>
      </c>
      <c r="D256" s="361" t="s">
        <v>498</v>
      </c>
      <c r="E256" s="361" t="s">
        <v>498</v>
      </c>
      <c r="F256" s="361" t="s">
        <v>498</v>
      </c>
      <c r="G256" s="361" t="s">
        <v>498</v>
      </c>
      <c r="H256" s="179" t="s">
        <v>498</v>
      </c>
      <c r="I256" s="361"/>
      <c r="J256" s="379" t="str">
        <f t="shared" si="46"/>
        <v>5.1.</v>
      </c>
      <c r="K256" s="271" t="s">
        <v>203</v>
      </c>
      <c r="L256" s="357" t="s">
        <v>204</v>
      </c>
      <c r="M256" s="272">
        <v>44932</v>
      </c>
      <c r="N256" s="272">
        <v>44932</v>
      </c>
      <c r="O256" s="358">
        <f t="shared" si="44"/>
        <v>100</v>
      </c>
      <c r="P256" s="265"/>
      <c r="Q256" s="353"/>
      <c r="R256" s="266"/>
      <c r="S256" s="669"/>
    </row>
    <row r="257" spans="1:19" ht="33" x14ac:dyDescent="0.3">
      <c r="A257" s="654"/>
      <c r="B257" s="663"/>
      <c r="C257" s="357"/>
      <c r="D257" s="21" t="s">
        <v>6</v>
      </c>
      <c r="E257" s="30"/>
      <c r="F257" s="105"/>
      <c r="G257" s="106"/>
      <c r="H257" s="7"/>
      <c r="I257" s="7" t="s">
        <v>555</v>
      </c>
      <c r="J257" s="380"/>
      <c r="K257" s="21" t="s">
        <v>6</v>
      </c>
      <c r="L257" s="355"/>
      <c r="M257" s="355"/>
      <c r="N257" s="355"/>
      <c r="O257" s="7"/>
      <c r="P257" s="7">
        <f>O256</f>
        <v>100</v>
      </c>
      <c r="Q257" s="7">
        <f>P257</f>
        <v>100</v>
      </c>
      <c r="R257" s="176" t="s">
        <v>31</v>
      </c>
      <c r="S257" s="670"/>
    </row>
    <row r="258" spans="1:19" ht="49.5" x14ac:dyDescent="0.3">
      <c r="A258" s="654"/>
      <c r="B258" s="663"/>
      <c r="C258" s="257" t="s">
        <v>170</v>
      </c>
      <c r="D258" s="22" t="s">
        <v>306</v>
      </c>
      <c r="E258" s="354"/>
      <c r="F258" s="203"/>
      <c r="G258" s="353"/>
      <c r="H258" s="353"/>
      <c r="I258" s="353"/>
      <c r="J258" s="58" t="str">
        <f t="shared" ref="J258:J262" si="47">C258</f>
        <v>VI</v>
      </c>
      <c r="K258" s="22" t="str">
        <f>D258</f>
        <v>Организация мероприятий по подготовке спортивных сборных команд</v>
      </c>
      <c r="L258" s="354"/>
      <c r="M258" s="37"/>
      <c r="N258" s="37"/>
      <c r="O258" s="353"/>
      <c r="P258" s="265"/>
      <c r="Q258" s="353"/>
      <c r="R258" s="167"/>
      <c r="S258" s="669"/>
    </row>
    <row r="259" spans="1:19" ht="82.5" x14ac:dyDescent="0.3">
      <c r="A259" s="654"/>
      <c r="B259" s="663"/>
      <c r="C259" s="17" t="s">
        <v>171</v>
      </c>
      <c r="D259" s="361" t="s">
        <v>307</v>
      </c>
      <c r="E259" s="357" t="s">
        <v>25</v>
      </c>
      <c r="F259" s="179">
        <v>5</v>
      </c>
      <c r="G259" s="358">
        <v>25.8</v>
      </c>
      <c r="H259" s="358">
        <f>IF(G259/F259*100&gt;100,100,G259/F259*100)</f>
        <v>100</v>
      </c>
      <c r="I259" s="353"/>
      <c r="J259" s="379" t="str">
        <f t="shared" si="47"/>
        <v>6.1.</v>
      </c>
      <c r="K259" s="361" t="s">
        <v>400</v>
      </c>
      <c r="L259" s="357" t="s">
        <v>38</v>
      </c>
      <c r="M259" s="272">
        <v>154</v>
      </c>
      <c r="N259" s="272">
        <v>154</v>
      </c>
      <c r="O259" s="358">
        <f t="shared" si="44"/>
        <v>100</v>
      </c>
      <c r="P259" s="265"/>
      <c r="Q259" s="353"/>
      <c r="R259" s="266"/>
      <c r="S259" s="669"/>
    </row>
    <row r="260" spans="1:19" ht="33" x14ac:dyDescent="0.3">
      <c r="A260" s="655"/>
      <c r="B260" s="664"/>
      <c r="C260" s="17"/>
      <c r="D260" s="21" t="s">
        <v>6</v>
      </c>
      <c r="E260" s="30"/>
      <c r="F260" s="100"/>
      <c r="G260" s="103"/>
      <c r="H260" s="7"/>
      <c r="I260" s="7">
        <f>H259</f>
        <v>100</v>
      </c>
      <c r="J260" s="384"/>
      <c r="K260" s="21" t="s">
        <v>6</v>
      </c>
      <c r="L260" s="30"/>
      <c r="M260" s="101"/>
      <c r="N260" s="101"/>
      <c r="O260" s="7"/>
      <c r="P260" s="7">
        <f>O259</f>
        <v>100</v>
      </c>
      <c r="Q260" s="7">
        <f>(I260+P260)/2</f>
        <v>100</v>
      </c>
      <c r="R260" s="176" t="s">
        <v>31</v>
      </c>
      <c r="S260" s="671"/>
    </row>
    <row r="261" spans="1:19" ht="126" customHeight="1" x14ac:dyDescent="0.3">
      <c r="A261" s="653" t="s">
        <v>79</v>
      </c>
      <c r="B261" s="663" t="s">
        <v>541</v>
      </c>
      <c r="C261" s="280" t="s">
        <v>12</v>
      </c>
      <c r="D261" s="281" t="s">
        <v>542</v>
      </c>
      <c r="E261" s="370"/>
      <c r="F261" s="282"/>
      <c r="G261" s="363"/>
      <c r="H261" s="363"/>
      <c r="I261" s="363"/>
      <c r="J261" s="58" t="str">
        <f t="shared" si="47"/>
        <v>I</v>
      </c>
      <c r="K261" s="281" t="str">
        <f>D261</f>
        <v>Реализация дополнительных образовательных программ спортивной подготовки по олимпийским видам спорта 
Плавание (этап начальной подготовки)</v>
      </c>
      <c r="L261" s="351"/>
      <c r="M261" s="362"/>
      <c r="N261" s="362"/>
      <c r="O261" s="363"/>
      <c r="P261" s="283"/>
      <c r="Q261" s="363"/>
      <c r="R261" s="284"/>
      <c r="S261" s="675" t="s">
        <v>279</v>
      </c>
    </row>
    <row r="262" spans="1:19" ht="99" x14ac:dyDescent="0.3">
      <c r="A262" s="654"/>
      <c r="B262" s="663"/>
      <c r="C262" s="17" t="s">
        <v>7</v>
      </c>
      <c r="D262" s="259" t="s">
        <v>495</v>
      </c>
      <c r="E262" s="357" t="s">
        <v>38</v>
      </c>
      <c r="F262" s="179">
        <v>0</v>
      </c>
      <c r="G262" s="179">
        <v>0</v>
      </c>
      <c r="H262" s="358">
        <v>100</v>
      </c>
      <c r="I262" s="353"/>
      <c r="J262" s="379" t="str">
        <f t="shared" si="47"/>
        <v>1.1.</v>
      </c>
      <c r="K262" s="361" t="s">
        <v>496</v>
      </c>
      <c r="L262" s="357" t="s">
        <v>38</v>
      </c>
      <c r="M262" s="357">
        <v>194</v>
      </c>
      <c r="N262" s="357">
        <v>194</v>
      </c>
      <c r="O262" s="358">
        <f t="shared" si="44"/>
        <v>100</v>
      </c>
      <c r="P262" s="265"/>
      <c r="Q262" s="353"/>
      <c r="R262" s="266"/>
      <c r="S262" s="669"/>
    </row>
    <row r="263" spans="1:19" ht="181.5" x14ac:dyDescent="0.3">
      <c r="A263" s="654"/>
      <c r="B263" s="663"/>
      <c r="C263" s="17" t="s">
        <v>8</v>
      </c>
      <c r="D263" s="259" t="s">
        <v>497</v>
      </c>
      <c r="E263" s="357" t="s">
        <v>38</v>
      </c>
      <c r="F263" s="357" t="s">
        <v>498</v>
      </c>
      <c r="G263" s="357" t="s">
        <v>498</v>
      </c>
      <c r="H263" s="179" t="s">
        <v>498</v>
      </c>
      <c r="I263" s="357"/>
      <c r="J263" s="379"/>
      <c r="K263" s="361"/>
      <c r="L263" s="357"/>
      <c r="M263" s="357"/>
      <c r="N263" s="357"/>
      <c r="O263" s="358"/>
      <c r="P263" s="265"/>
      <c r="Q263" s="353"/>
      <c r="R263" s="266"/>
      <c r="S263" s="669"/>
    </row>
    <row r="264" spans="1:19" ht="33" x14ac:dyDescent="0.3">
      <c r="A264" s="654"/>
      <c r="B264" s="663"/>
      <c r="C264" s="17"/>
      <c r="D264" s="21" t="s">
        <v>6</v>
      </c>
      <c r="E264" s="30"/>
      <c r="F264" s="100"/>
      <c r="G264" s="103"/>
      <c r="H264" s="7"/>
      <c r="I264" s="7">
        <f>H262</f>
        <v>100</v>
      </c>
      <c r="J264" s="384"/>
      <c r="K264" s="21" t="s">
        <v>6</v>
      </c>
      <c r="L264" s="30"/>
      <c r="M264" s="101"/>
      <c r="N264" s="101"/>
      <c r="O264" s="7"/>
      <c r="P264" s="7">
        <f>O262</f>
        <v>100</v>
      </c>
      <c r="Q264" s="7">
        <f>(I264+P264)/2</f>
        <v>100</v>
      </c>
      <c r="R264" s="176" t="s">
        <v>31</v>
      </c>
      <c r="S264" s="670"/>
    </row>
    <row r="265" spans="1:19" ht="115.5" x14ac:dyDescent="0.3">
      <c r="A265" s="654"/>
      <c r="B265" s="663"/>
      <c r="C265" s="257" t="s">
        <v>13</v>
      </c>
      <c r="D265" s="22" t="s">
        <v>526</v>
      </c>
      <c r="E265" s="354"/>
      <c r="F265" s="203"/>
      <c r="G265" s="353"/>
      <c r="H265" s="353"/>
      <c r="I265" s="353"/>
      <c r="J265" s="58" t="str">
        <f>C265</f>
        <v>II</v>
      </c>
      <c r="K265" s="22" t="str">
        <f>D265</f>
        <v>Реализация дополнительных образовательных программ спортивной подготовки по олимпийским видам спорта 
Плавание (учебно-тренировочный этап (этап спортивной специализации))</v>
      </c>
      <c r="L265" s="357"/>
      <c r="M265" s="258"/>
      <c r="N265" s="258"/>
      <c r="O265" s="353"/>
      <c r="P265" s="265"/>
      <c r="Q265" s="353"/>
      <c r="R265" s="167"/>
      <c r="S265" s="669"/>
    </row>
    <row r="266" spans="1:19" ht="99" x14ac:dyDescent="0.3">
      <c r="A266" s="654"/>
      <c r="B266" s="663"/>
      <c r="C266" s="17" t="s">
        <v>14</v>
      </c>
      <c r="D266" s="259" t="s">
        <v>495</v>
      </c>
      <c r="E266" s="357" t="s">
        <v>38</v>
      </c>
      <c r="F266" s="179">
        <v>0</v>
      </c>
      <c r="G266" s="179">
        <v>0</v>
      </c>
      <c r="H266" s="358">
        <v>100</v>
      </c>
      <c r="I266" s="353"/>
      <c r="J266" s="379" t="str">
        <f t="shared" ref="J266" si="48">C266</f>
        <v>2.1.</v>
      </c>
      <c r="K266" s="361" t="s">
        <v>496</v>
      </c>
      <c r="L266" s="357" t="s">
        <v>38</v>
      </c>
      <c r="M266" s="357">
        <v>48</v>
      </c>
      <c r="N266" s="357">
        <v>48</v>
      </c>
      <c r="O266" s="358">
        <f t="shared" si="44"/>
        <v>100</v>
      </c>
      <c r="P266" s="265"/>
      <c r="Q266" s="353"/>
      <c r="R266" s="266"/>
      <c r="S266" s="669"/>
    </row>
    <row r="267" spans="1:19" ht="181.5" x14ac:dyDescent="0.3">
      <c r="A267" s="654"/>
      <c r="B267" s="663"/>
      <c r="C267" s="17" t="s">
        <v>15</v>
      </c>
      <c r="D267" s="259" t="s">
        <v>497</v>
      </c>
      <c r="E267" s="357" t="s">
        <v>38</v>
      </c>
      <c r="F267" s="357" t="s">
        <v>498</v>
      </c>
      <c r="G267" s="357" t="s">
        <v>498</v>
      </c>
      <c r="H267" s="179" t="s">
        <v>498</v>
      </c>
      <c r="I267" s="357"/>
      <c r="J267" s="379"/>
      <c r="K267" s="361"/>
      <c r="L267" s="357"/>
      <c r="M267" s="357"/>
      <c r="N267" s="357"/>
      <c r="O267" s="358"/>
      <c r="P267" s="265"/>
      <c r="Q267" s="353"/>
      <c r="R267" s="266"/>
      <c r="S267" s="669"/>
    </row>
    <row r="268" spans="1:19" ht="33" x14ac:dyDescent="0.3">
      <c r="A268" s="654"/>
      <c r="B268" s="663"/>
      <c r="C268" s="17"/>
      <c r="D268" s="21" t="s">
        <v>6</v>
      </c>
      <c r="E268" s="30"/>
      <c r="F268" s="100"/>
      <c r="G268" s="103"/>
      <c r="H268" s="7"/>
      <c r="I268" s="7">
        <f>H266</f>
        <v>100</v>
      </c>
      <c r="J268" s="384"/>
      <c r="K268" s="21" t="s">
        <v>6</v>
      </c>
      <c r="L268" s="30"/>
      <c r="M268" s="101"/>
      <c r="N268" s="101"/>
      <c r="O268" s="7"/>
      <c r="P268" s="7">
        <f>O266</f>
        <v>100</v>
      </c>
      <c r="Q268" s="7">
        <f>(I268+P268)/2</f>
        <v>100</v>
      </c>
      <c r="R268" s="176" t="s">
        <v>31</v>
      </c>
      <c r="S268" s="670"/>
    </row>
    <row r="269" spans="1:19" ht="99" x14ac:dyDescent="0.3">
      <c r="A269" s="654"/>
      <c r="B269" s="663"/>
      <c r="C269" s="354" t="s">
        <v>28</v>
      </c>
      <c r="D269" s="22" t="s">
        <v>543</v>
      </c>
      <c r="E269" s="354"/>
      <c r="F269" s="203"/>
      <c r="G269" s="353"/>
      <c r="H269" s="353"/>
      <c r="I269" s="353"/>
      <c r="J269" s="58" t="str">
        <f>C269</f>
        <v>III</v>
      </c>
      <c r="K269" s="22" t="str">
        <f>D269</f>
        <v>Реализация дополнительных образовательных программ спортивной подготовки по олимпийским видам спорта 
Водное поло (этап начальной подготовки)</v>
      </c>
      <c r="L269" s="357"/>
      <c r="M269" s="358"/>
      <c r="N269" s="358"/>
      <c r="O269" s="353"/>
      <c r="P269" s="265"/>
      <c r="Q269" s="353"/>
      <c r="R269" s="167"/>
      <c r="S269" s="669"/>
    </row>
    <row r="270" spans="1:19" ht="99" x14ac:dyDescent="0.3">
      <c r="A270" s="654"/>
      <c r="B270" s="663"/>
      <c r="C270" s="17" t="s">
        <v>29</v>
      </c>
      <c r="D270" s="259" t="s">
        <v>495</v>
      </c>
      <c r="E270" s="357" t="s">
        <v>38</v>
      </c>
      <c r="F270" s="179">
        <v>0</v>
      </c>
      <c r="G270" s="179">
        <v>0</v>
      </c>
      <c r="H270" s="358">
        <v>100</v>
      </c>
      <c r="I270" s="353"/>
      <c r="J270" s="17" t="s">
        <v>29</v>
      </c>
      <c r="K270" s="361" t="s">
        <v>496</v>
      </c>
      <c r="L270" s="357" t="s">
        <v>38</v>
      </c>
      <c r="M270" s="357">
        <v>135</v>
      </c>
      <c r="N270" s="357">
        <v>135</v>
      </c>
      <c r="O270" s="358">
        <f t="shared" si="44"/>
        <v>100</v>
      </c>
      <c r="P270" s="265"/>
      <c r="Q270" s="353"/>
      <c r="R270" s="266"/>
      <c r="S270" s="669"/>
    </row>
    <row r="271" spans="1:19" ht="181.5" x14ac:dyDescent="0.3">
      <c r="A271" s="654"/>
      <c r="B271" s="663"/>
      <c r="C271" s="17" t="s">
        <v>30</v>
      </c>
      <c r="D271" s="259" t="s">
        <v>497</v>
      </c>
      <c r="E271" s="357" t="s">
        <v>38</v>
      </c>
      <c r="F271" s="357" t="s">
        <v>498</v>
      </c>
      <c r="G271" s="357" t="s">
        <v>498</v>
      </c>
      <c r="H271" s="179" t="s">
        <v>498</v>
      </c>
      <c r="I271" s="357"/>
      <c r="J271" s="379"/>
      <c r="K271" s="361"/>
      <c r="L271" s="357"/>
      <c r="M271" s="357"/>
      <c r="N271" s="357"/>
      <c r="O271" s="358"/>
      <c r="P271" s="265"/>
      <c r="Q271" s="353"/>
      <c r="R271" s="266"/>
      <c r="S271" s="669"/>
    </row>
    <row r="272" spans="1:19" ht="33" x14ac:dyDescent="0.3">
      <c r="A272" s="654"/>
      <c r="B272" s="663"/>
      <c r="C272" s="17"/>
      <c r="D272" s="21" t="s">
        <v>6</v>
      </c>
      <c r="E272" s="30"/>
      <c r="F272" s="100"/>
      <c r="G272" s="103"/>
      <c r="H272" s="7"/>
      <c r="I272" s="7">
        <f>H270</f>
        <v>100</v>
      </c>
      <c r="J272" s="384"/>
      <c r="K272" s="21" t="s">
        <v>6</v>
      </c>
      <c r="L272" s="30"/>
      <c r="M272" s="101"/>
      <c r="N272" s="101"/>
      <c r="O272" s="7"/>
      <c r="P272" s="7">
        <f>O270</f>
        <v>100</v>
      </c>
      <c r="Q272" s="7">
        <f>(I272+P272)/2</f>
        <v>100</v>
      </c>
      <c r="R272" s="176" t="s">
        <v>31</v>
      </c>
      <c r="S272" s="670"/>
    </row>
    <row r="273" spans="1:19" ht="115.5" x14ac:dyDescent="0.3">
      <c r="A273" s="654"/>
      <c r="B273" s="663"/>
      <c r="C273" s="257" t="s">
        <v>42</v>
      </c>
      <c r="D273" s="22" t="s">
        <v>544</v>
      </c>
      <c r="E273" s="354"/>
      <c r="F273" s="203"/>
      <c r="G273" s="353"/>
      <c r="H273" s="353"/>
      <c r="I273" s="353"/>
      <c r="J273" s="58" t="str">
        <f>C273</f>
        <v>IV</v>
      </c>
      <c r="K273" s="22" t="str">
        <f>D273</f>
        <v>Реализация дополнительных образовательных программ спортивной подготовки по олимпийским видам спорта 
Водное поло (учебно-тренировочный этап (этап спортивной специализации))</v>
      </c>
      <c r="L273" s="357"/>
      <c r="M273" s="258"/>
      <c r="N273" s="258"/>
      <c r="O273" s="353"/>
      <c r="P273" s="265"/>
      <c r="Q273" s="353"/>
      <c r="R273" s="167"/>
      <c r="S273" s="669"/>
    </row>
    <row r="274" spans="1:19" ht="99" x14ac:dyDescent="0.3">
      <c r="A274" s="654"/>
      <c r="B274" s="663"/>
      <c r="C274" s="17" t="s">
        <v>43</v>
      </c>
      <c r="D274" s="259" t="s">
        <v>495</v>
      </c>
      <c r="E274" s="357" t="s">
        <v>38</v>
      </c>
      <c r="F274" s="179">
        <v>0</v>
      </c>
      <c r="G274" s="179">
        <v>0</v>
      </c>
      <c r="H274" s="358">
        <v>100</v>
      </c>
      <c r="I274" s="353"/>
      <c r="J274" s="379" t="str">
        <f>C274</f>
        <v>4.1.</v>
      </c>
      <c r="K274" s="361" t="s">
        <v>496</v>
      </c>
      <c r="L274" s="357" t="s">
        <v>38</v>
      </c>
      <c r="M274" s="357">
        <v>52</v>
      </c>
      <c r="N274" s="357">
        <v>52</v>
      </c>
      <c r="O274" s="358">
        <f t="shared" si="44"/>
        <v>100</v>
      </c>
      <c r="P274" s="265"/>
      <c r="Q274" s="353"/>
      <c r="R274" s="266"/>
      <c r="S274" s="669"/>
    </row>
    <row r="275" spans="1:19" ht="181.5" x14ac:dyDescent="0.3">
      <c r="A275" s="654"/>
      <c r="B275" s="663"/>
      <c r="C275" s="17" t="s">
        <v>137</v>
      </c>
      <c r="D275" s="259" t="s">
        <v>497</v>
      </c>
      <c r="E275" s="357" t="s">
        <v>38</v>
      </c>
      <c r="F275" s="357" t="s">
        <v>498</v>
      </c>
      <c r="G275" s="357" t="s">
        <v>498</v>
      </c>
      <c r="H275" s="179" t="s">
        <v>498</v>
      </c>
      <c r="I275" s="357"/>
      <c r="J275" s="379"/>
      <c r="K275" s="361"/>
      <c r="L275" s="357"/>
      <c r="M275" s="357"/>
      <c r="N275" s="357"/>
      <c r="O275" s="358"/>
      <c r="P275" s="265"/>
      <c r="Q275" s="353"/>
      <c r="R275" s="266"/>
      <c r="S275" s="669"/>
    </row>
    <row r="276" spans="1:19" ht="33" x14ac:dyDescent="0.3">
      <c r="A276" s="654"/>
      <c r="B276" s="663"/>
      <c r="C276" s="17"/>
      <c r="D276" s="21" t="s">
        <v>6</v>
      </c>
      <c r="E276" s="30"/>
      <c r="F276" s="100"/>
      <c r="G276" s="103"/>
      <c r="H276" s="7"/>
      <c r="I276" s="7">
        <f>H274</f>
        <v>100</v>
      </c>
      <c r="J276" s="384"/>
      <c r="K276" s="21" t="s">
        <v>6</v>
      </c>
      <c r="L276" s="30"/>
      <c r="M276" s="101"/>
      <c r="N276" s="101"/>
      <c r="O276" s="7"/>
      <c r="P276" s="7">
        <f>O274</f>
        <v>100</v>
      </c>
      <c r="Q276" s="7">
        <f>(I276+P276)/2</f>
        <v>100</v>
      </c>
      <c r="R276" s="176" t="s">
        <v>31</v>
      </c>
      <c r="S276" s="670"/>
    </row>
    <row r="277" spans="1:19" ht="51.75" customHeight="1" x14ac:dyDescent="0.3">
      <c r="A277" s="654"/>
      <c r="B277" s="663"/>
      <c r="C277" s="17" t="s">
        <v>164</v>
      </c>
      <c r="D277" s="22" t="s">
        <v>306</v>
      </c>
      <c r="E277" s="357"/>
      <c r="F277" s="179"/>
      <c r="G277" s="358"/>
      <c r="H277" s="353"/>
      <c r="I277" s="353"/>
      <c r="J277" s="58" t="str">
        <f t="shared" ref="J277:J278" si="49">C277</f>
        <v>V</v>
      </c>
      <c r="K277" s="22" t="str">
        <f>D277</f>
        <v>Организация мероприятий по подготовке спортивных сборных команд</v>
      </c>
      <c r="L277" s="357"/>
      <c r="M277" s="357"/>
      <c r="N277" s="357"/>
      <c r="O277" s="353"/>
      <c r="P277" s="265"/>
      <c r="Q277" s="353"/>
      <c r="R277" s="167"/>
      <c r="S277" s="669"/>
    </row>
    <row r="278" spans="1:19" ht="82.5" x14ac:dyDescent="0.3">
      <c r="A278" s="654"/>
      <c r="B278" s="663"/>
      <c r="C278" s="17" t="s">
        <v>165</v>
      </c>
      <c r="D278" s="361" t="s">
        <v>307</v>
      </c>
      <c r="E278" s="357" t="s">
        <v>25</v>
      </c>
      <c r="F278" s="179">
        <v>5</v>
      </c>
      <c r="G278" s="358">
        <v>17.2</v>
      </c>
      <c r="H278" s="358">
        <f>IF(G278/F278*100&gt;100,100,G278/F278*100)</f>
        <v>100</v>
      </c>
      <c r="I278" s="353"/>
      <c r="J278" s="379" t="str">
        <f t="shared" si="49"/>
        <v>5.1.</v>
      </c>
      <c r="K278" s="361" t="s">
        <v>400</v>
      </c>
      <c r="L278" s="357" t="s">
        <v>206</v>
      </c>
      <c r="M278" s="357">
        <v>63</v>
      </c>
      <c r="N278" s="357">
        <v>75</v>
      </c>
      <c r="O278" s="358">
        <f t="shared" si="44"/>
        <v>110</v>
      </c>
      <c r="P278" s="265"/>
      <c r="Q278" s="353"/>
      <c r="R278" s="266"/>
      <c r="S278" s="669"/>
    </row>
    <row r="279" spans="1:19" ht="33.75" thickBot="1" x14ac:dyDescent="0.35">
      <c r="A279" s="654"/>
      <c r="B279" s="663"/>
      <c r="C279" s="356"/>
      <c r="D279" s="160" t="s">
        <v>6</v>
      </c>
      <c r="E279" s="162"/>
      <c r="F279" s="388"/>
      <c r="G279" s="389"/>
      <c r="H279" s="161"/>
      <c r="I279" s="161">
        <f>H278</f>
        <v>100</v>
      </c>
      <c r="J279" s="390"/>
      <c r="K279" s="160" t="s">
        <v>6</v>
      </c>
      <c r="L279" s="162"/>
      <c r="M279" s="391"/>
      <c r="N279" s="391"/>
      <c r="O279" s="161"/>
      <c r="P279" s="161">
        <f>O278</f>
        <v>110</v>
      </c>
      <c r="Q279" s="161">
        <f>(I279+P279)/2</f>
        <v>105</v>
      </c>
      <c r="R279" s="176" t="s">
        <v>31</v>
      </c>
      <c r="S279" s="670"/>
    </row>
    <row r="280" spans="1:19" ht="99" x14ac:dyDescent="0.3">
      <c r="A280" s="679" t="s">
        <v>80</v>
      </c>
      <c r="B280" s="682" t="s">
        <v>545</v>
      </c>
      <c r="C280" s="392" t="s">
        <v>12</v>
      </c>
      <c r="D280" s="393" t="s">
        <v>529</v>
      </c>
      <c r="E280" s="394"/>
      <c r="F280" s="395"/>
      <c r="G280" s="396"/>
      <c r="H280" s="397"/>
      <c r="I280" s="397"/>
      <c r="J280" s="398" t="s">
        <v>12</v>
      </c>
      <c r="K280" s="393" t="str">
        <f>D280</f>
        <v>Реализация дополнительных образовательных программ спортивной подготовки по олимпийским видам спорта 
Дзюдо (этап начальной подготовки)</v>
      </c>
      <c r="L280" s="394"/>
      <c r="M280" s="399"/>
      <c r="N280" s="399"/>
      <c r="O280" s="397"/>
      <c r="P280" s="400"/>
      <c r="Q280" s="397"/>
      <c r="R280" s="401"/>
      <c r="S280" s="684" t="s">
        <v>280</v>
      </c>
    </row>
    <row r="281" spans="1:19" ht="99" x14ac:dyDescent="0.3">
      <c r="A281" s="680"/>
      <c r="B281" s="663"/>
      <c r="C281" s="357" t="s">
        <v>7</v>
      </c>
      <c r="D281" s="259" t="s">
        <v>495</v>
      </c>
      <c r="E281" s="357" t="s">
        <v>38</v>
      </c>
      <c r="F281" s="179">
        <v>0</v>
      </c>
      <c r="G281" s="179">
        <v>0</v>
      </c>
      <c r="H281" s="358">
        <v>100</v>
      </c>
      <c r="I281" s="353"/>
      <c r="J281" s="379" t="s">
        <v>7</v>
      </c>
      <c r="K281" s="361" t="s">
        <v>496</v>
      </c>
      <c r="L281" s="357" t="s">
        <v>38</v>
      </c>
      <c r="M281" s="286">
        <v>52</v>
      </c>
      <c r="N281" s="286">
        <v>52</v>
      </c>
      <c r="O281" s="358">
        <f t="shared" ref="O281:O342" si="50">IF(N281/M281*100&gt;110,110,N281/M281*100)</f>
        <v>100</v>
      </c>
      <c r="P281" s="305"/>
      <c r="Q281" s="353"/>
      <c r="R281" s="266"/>
      <c r="S281" s="685"/>
    </row>
    <row r="282" spans="1:19" ht="181.5" x14ac:dyDescent="0.3">
      <c r="A282" s="680"/>
      <c r="B282" s="663"/>
      <c r="C282" s="357" t="s">
        <v>8</v>
      </c>
      <c r="D282" s="259" t="s">
        <v>497</v>
      </c>
      <c r="E282" s="357" t="s">
        <v>38</v>
      </c>
      <c r="F282" s="357" t="s">
        <v>498</v>
      </c>
      <c r="G282" s="357" t="s">
        <v>498</v>
      </c>
      <c r="H282" s="179" t="s">
        <v>498</v>
      </c>
      <c r="I282" s="357"/>
      <c r="J282" s="379"/>
      <c r="K282" s="361"/>
      <c r="L282" s="357"/>
      <c r="M282" s="286"/>
      <c r="N282" s="286"/>
      <c r="O282" s="358"/>
      <c r="P282" s="305"/>
      <c r="Q282" s="353"/>
      <c r="R282" s="266"/>
      <c r="S282" s="685"/>
    </row>
    <row r="283" spans="1:19" ht="33" x14ac:dyDescent="0.3">
      <c r="A283" s="680"/>
      <c r="B283" s="663"/>
      <c r="C283" s="17"/>
      <c r="D283" s="21" t="s">
        <v>6</v>
      </c>
      <c r="E283" s="30"/>
      <c r="F283" s="100"/>
      <c r="G283" s="103"/>
      <c r="H283" s="7"/>
      <c r="I283" s="7">
        <f>H281</f>
        <v>100</v>
      </c>
      <c r="J283" s="384"/>
      <c r="K283" s="21" t="s">
        <v>6</v>
      </c>
      <c r="L283" s="30"/>
      <c r="M283" s="101"/>
      <c r="N283" s="101"/>
      <c r="O283" s="7"/>
      <c r="P283" s="7">
        <f>O281</f>
        <v>100</v>
      </c>
      <c r="Q283" s="7">
        <f>(I283+P283)/2</f>
        <v>100</v>
      </c>
      <c r="R283" s="176" t="s">
        <v>31</v>
      </c>
      <c r="S283" s="685"/>
    </row>
    <row r="284" spans="1:19" ht="115.5" x14ac:dyDescent="0.3">
      <c r="A284" s="680"/>
      <c r="B284" s="663"/>
      <c r="C284" s="354" t="s">
        <v>13</v>
      </c>
      <c r="D284" s="22" t="s">
        <v>530</v>
      </c>
      <c r="E284" s="357"/>
      <c r="F284" s="179"/>
      <c r="G284" s="358"/>
      <c r="H284" s="353"/>
      <c r="I284" s="353"/>
      <c r="J284" s="58" t="s">
        <v>13</v>
      </c>
      <c r="K284" s="22" t="str">
        <f>D284</f>
        <v>Реализация дополнительных образовательных программ спортивной подготовки по олимпийским видам спорта 
Дзюдо (учебно-тренировочный этап (этап спортивной специализации))</v>
      </c>
      <c r="L284" s="357"/>
      <c r="M284" s="38"/>
      <c r="N284" s="38"/>
      <c r="O284" s="353"/>
      <c r="P284" s="287"/>
      <c r="Q284" s="353"/>
      <c r="R284" s="167"/>
      <c r="S284" s="685"/>
    </row>
    <row r="285" spans="1:19" ht="61.5" customHeight="1" x14ac:dyDescent="0.3">
      <c r="A285" s="680"/>
      <c r="B285" s="663"/>
      <c r="C285" s="357" t="s">
        <v>14</v>
      </c>
      <c r="D285" s="259" t="s">
        <v>495</v>
      </c>
      <c r="E285" s="357" t="s">
        <v>38</v>
      </c>
      <c r="F285" s="179">
        <v>0</v>
      </c>
      <c r="G285" s="179">
        <v>0</v>
      </c>
      <c r="H285" s="358">
        <v>100</v>
      </c>
      <c r="I285" s="353"/>
      <c r="J285" s="379" t="str">
        <f>C285</f>
        <v>2.1.</v>
      </c>
      <c r="K285" s="361" t="s">
        <v>496</v>
      </c>
      <c r="L285" s="357" t="s">
        <v>38</v>
      </c>
      <c r="M285" s="286">
        <v>56</v>
      </c>
      <c r="N285" s="286">
        <v>56</v>
      </c>
      <c r="O285" s="358">
        <f t="shared" si="50"/>
        <v>100</v>
      </c>
      <c r="P285" s="305"/>
      <c r="Q285" s="353"/>
      <c r="R285" s="266"/>
      <c r="S285" s="685"/>
    </row>
    <row r="286" spans="1:19" ht="181.5" x14ac:dyDescent="0.3">
      <c r="A286" s="680"/>
      <c r="B286" s="663"/>
      <c r="C286" s="357" t="s">
        <v>15</v>
      </c>
      <c r="D286" s="259" t="s">
        <v>497</v>
      </c>
      <c r="E286" s="357" t="s">
        <v>38</v>
      </c>
      <c r="F286" s="357" t="s">
        <v>498</v>
      </c>
      <c r="G286" s="357" t="s">
        <v>498</v>
      </c>
      <c r="H286" s="179" t="s">
        <v>498</v>
      </c>
      <c r="I286" s="357"/>
      <c r="J286" s="379"/>
      <c r="K286" s="361"/>
      <c r="L286" s="357"/>
      <c r="M286" s="38"/>
      <c r="N286" s="38"/>
      <c r="O286" s="358"/>
      <c r="P286" s="305"/>
      <c r="Q286" s="353"/>
      <c r="R286" s="266"/>
      <c r="S286" s="685"/>
    </row>
    <row r="287" spans="1:19" ht="33" x14ac:dyDescent="0.3">
      <c r="A287" s="680"/>
      <c r="B287" s="663"/>
      <c r="C287" s="17"/>
      <c r="D287" s="21" t="s">
        <v>6</v>
      </c>
      <c r="E287" s="30"/>
      <c r="F287" s="100"/>
      <c r="G287" s="103"/>
      <c r="H287" s="7"/>
      <c r="I287" s="7">
        <f>H285</f>
        <v>100</v>
      </c>
      <c r="J287" s="384"/>
      <c r="K287" s="21" t="s">
        <v>6</v>
      </c>
      <c r="L287" s="30"/>
      <c r="M287" s="101"/>
      <c r="N287" s="101"/>
      <c r="O287" s="7"/>
      <c r="P287" s="7">
        <f>O285</f>
        <v>100</v>
      </c>
      <c r="Q287" s="7">
        <f>(I287+P287)/2</f>
        <v>100</v>
      </c>
      <c r="R287" s="176" t="s">
        <v>31</v>
      </c>
      <c r="S287" s="685"/>
    </row>
    <row r="288" spans="1:19" ht="99" x14ac:dyDescent="0.3">
      <c r="A288" s="680"/>
      <c r="B288" s="663"/>
      <c r="C288" s="354" t="s">
        <v>28</v>
      </c>
      <c r="D288" s="22" t="s">
        <v>522</v>
      </c>
      <c r="E288" s="357"/>
      <c r="F288" s="179"/>
      <c r="G288" s="358"/>
      <c r="H288" s="353"/>
      <c r="I288" s="353"/>
      <c r="J288" s="58" t="str">
        <f>C288</f>
        <v>III</v>
      </c>
      <c r="K288" s="22" t="str">
        <f>D288</f>
        <v>Реализация дополнительных образовательных программ спортивной подготовки по олимпийским видам спорта 
Бокс (этап начальной подготовки)</v>
      </c>
      <c r="L288" s="357"/>
      <c r="M288" s="38"/>
      <c r="N288" s="38"/>
      <c r="O288" s="353"/>
      <c r="P288" s="285"/>
      <c r="Q288" s="353"/>
      <c r="R288" s="167"/>
      <c r="S288" s="685"/>
    </row>
    <row r="289" spans="1:19" ht="99" x14ac:dyDescent="0.3">
      <c r="A289" s="680"/>
      <c r="B289" s="663"/>
      <c r="C289" s="357" t="s">
        <v>29</v>
      </c>
      <c r="D289" s="259" t="s">
        <v>495</v>
      </c>
      <c r="E289" s="357" t="s">
        <v>38</v>
      </c>
      <c r="F289" s="179">
        <v>0</v>
      </c>
      <c r="G289" s="179">
        <v>0</v>
      </c>
      <c r="H289" s="358">
        <v>100</v>
      </c>
      <c r="I289" s="353"/>
      <c r="J289" s="379" t="str">
        <f>C289</f>
        <v>3.1.</v>
      </c>
      <c r="K289" s="361" t="s">
        <v>496</v>
      </c>
      <c r="L289" s="357" t="s">
        <v>38</v>
      </c>
      <c r="M289" s="286">
        <v>43</v>
      </c>
      <c r="N289" s="286">
        <v>43</v>
      </c>
      <c r="O289" s="358">
        <f t="shared" si="50"/>
        <v>100</v>
      </c>
      <c r="P289" s="305"/>
      <c r="Q289" s="353"/>
      <c r="R289" s="266"/>
      <c r="S289" s="685"/>
    </row>
    <row r="290" spans="1:19" ht="181.5" x14ac:dyDescent="0.3">
      <c r="A290" s="680"/>
      <c r="B290" s="663"/>
      <c r="C290" s="357" t="s">
        <v>30</v>
      </c>
      <c r="D290" s="259" t="s">
        <v>497</v>
      </c>
      <c r="E290" s="357" t="s">
        <v>38</v>
      </c>
      <c r="F290" s="357" t="s">
        <v>498</v>
      </c>
      <c r="G290" s="357" t="s">
        <v>498</v>
      </c>
      <c r="H290" s="179" t="s">
        <v>498</v>
      </c>
      <c r="I290" s="357"/>
      <c r="J290" s="379"/>
      <c r="K290" s="361"/>
      <c r="L290" s="357"/>
      <c r="M290" s="38"/>
      <c r="N290" s="38"/>
      <c r="O290" s="358"/>
      <c r="P290" s="305"/>
      <c r="Q290" s="353"/>
      <c r="R290" s="266"/>
      <c r="S290" s="685"/>
    </row>
    <row r="291" spans="1:19" ht="33" x14ac:dyDescent="0.3">
      <c r="A291" s="680"/>
      <c r="B291" s="663"/>
      <c r="C291" s="17"/>
      <c r="D291" s="21" t="s">
        <v>6</v>
      </c>
      <c r="E291" s="30"/>
      <c r="F291" s="100"/>
      <c r="G291" s="103"/>
      <c r="H291" s="7"/>
      <c r="I291" s="7">
        <f>H289</f>
        <v>100</v>
      </c>
      <c r="J291" s="384"/>
      <c r="K291" s="21" t="s">
        <v>6</v>
      </c>
      <c r="L291" s="30"/>
      <c r="M291" s="101"/>
      <c r="N291" s="101"/>
      <c r="O291" s="7"/>
      <c r="P291" s="7">
        <f>O289</f>
        <v>100</v>
      </c>
      <c r="Q291" s="7">
        <f>(I291+P291)/2</f>
        <v>100</v>
      </c>
      <c r="R291" s="176" t="s">
        <v>31</v>
      </c>
      <c r="S291" s="685"/>
    </row>
    <row r="292" spans="1:19" ht="115.5" x14ac:dyDescent="0.3">
      <c r="A292" s="680"/>
      <c r="B292" s="663"/>
      <c r="C292" s="354" t="s">
        <v>42</v>
      </c>
      <c r="D292" s="22" t="s">
        <v>523</v>
      </c>
      <c r="E292" s="357"/>
      <c r="F292" s="179"/>
      <c r="G292" s="358"/>
      <c r="H292" s="353"/>
      <c r="I292" s="353"/>
      <c r="J292" s="58" t="str">
        <f>C292</f>
        <v>IV</v>
      </c>
      <c r="K292" s="22" t="str">
        <f>D292</f>
        <v>Реализация дополнительных образовательных программ спортивной подготовки по олимпийским видам спорта 
Бокс (учебно-тренировочный этап (этап спортивной специализации))</v>
      </c>
      <c r="L292" s="357"/>
      <c r="M292" s="38"/>
      <c r="N292" s="38"/>
      <c r="O292" s="353"/>
      <c r="P292" s="353"/>
      <c r="Q292" s="353"/>
      <c r="R292" s="167"/>
      <c r="S292" s="685"/>
    </row>
    <row r="293" spans="1:19" ht="99" x14ac:dyDescent="0.3">
      <c r="A293" s="680"/>
      <c r="B293" s="663"/>
      <c r="C293" s="357" t="s">
        <v>43</v>
      </c>
      <c r="D293" s="259" t="s">
        <v>495</v>
      </c>
      <c r="E293" s="357" t="s">
        <v>38</v>
      </c>
      <c r="F293" s="179">
        <v>0</v>
      </c>
      <c r="G293" s="179">
        <v>0</v>
      </c>
      <c r="H293" s="358">
        <v>100</v>
      </c>
      <c r="I293" s="353"/>
      <c r="J293" s="379" t="str">
        <f>C293</f>
        <v>4.1.</v>
      </c>
      <c r="K293" s="361" t="s">
        <v>496</v>
      </c>
      <c r="L293" s="357" t="s">
        <v>38</v>
      </c>
      <c r="M293" s="286">
        <v>27</v>
      </c>
      <c r="N293" s="286">
        <v>27</v>
      </c>
      <c r="O293" s="358">
        <f t="shared" si="50"/>
        <v>100</v>
      </c>
      <c r="P293" s="305"/>
      <c r="Q293" s="353"/>
      <c r="R293" s="266"/>
      <c r="S293" s="685"/>
    </row>
    <row r="294" spans="1:19" ht="181.5" x14ac:dyDescent="0.3">
      <c r="A294" s="680"/>
      <c r="B294" s="663"/>
      <c r="C294" s="357" t="s">
        <v>137</v>
      </c>
      <c r="D294" s="259" t="s">
        <v>497</v>
      </c>
      <c r="E294" s="357" t="s">
        <v>38</v>
      </c>
      <c r="F294" s="357" t="s">
        <v>498</v>
      </c>
      <c r="G294" s="357" t="s">
        <v>498</v>
      </c>
      <c r="H294" s="179" t="s">
        <v>498</v>
      </c>
      <c r="I294" s="357"/>
      <c r="J294" s="379"/>
      <c r="K294" s="361"/>
      <c r="L294" s="357"/>
      <c r="M294" s="286"/>
      <c r="N294" s="286"/>
      <c r="O294" s="358"/>
      <c r="P294" s="305"/>
      <c r="Q294" s="353"/>
      <c r="R294" s="266"/>
      <c r="S294" s="685"/>
    </row>
    <row r="295" spans="1:19" ht="33" x14ac:dyDescent="0.3">
      <c r="A295" s="680"/>
      <c r="B295" s="663"/>
      <c r="C295" s="17"/>
      <c r="D295" s="21" t="s">
        <v>6</v>
      </c>
      <c r="E295" s="30"/>
      <c r="F295" s="100"/>
      <c r="G295" s="103"/>
      <c r="H295" s="7"/>
      <c r="I295" s="7">
        <f>H293</f>
        <v>100</v>
      </c>
      <c r="J295" s="384"/>
      <c r="K295" s="21" t="s">
        <v>6</v>
      </c>
      <c r="L295" s="30"/>
      <c r="M295" s="101"/>
      <c r="N295" s="101"/>
      <c r="O295" s="7"/>
      <c r="P295" s="7">
        <f>O293</f>
        <v>100</v>
      </c>
      <c r="Q295" s="7">
        <f>(I295+P295)/2</f>
        <v>100</v>
      </c>
      <c r="R295" s="176" t="s">
        <v>31</v>
      </c>
      <c r="S295" s="685"/>
    </row>
    <row r="296" spans="1:19" ht="127.5" customHeight="1" x14ac:dyDescent="0.3">
      <c r="A296" s="680"/>
      <c r="B296" s="663"/>
      <c r="C296" s="354" t="s">
        <v>164</v>
      </c>
      <c r="D296" s="22" t="s">
        <v>524</v>
      </c>
      <c r="E296" s="357"/>
      <c r="F296" s="179"/>
      <c r="G296" s="358"/>
      <c r="H296" s="353"/>
      <c r="I296" s="353"/>
      <c r="J296" s="58" t="str">
        <f>C296</f>
        <v>V</v>
      </c>
      <c r="K296" s="22" t="str">
        <f>D296</f>
        <v>Реализация дополнительных образовательных программ спортивной подготовки по олимпийским видам спорта 
Спортивная борьба (этап начальной подготовки)</v>
      </c>
      <c r="L296" s="354"/>
      <c r="M296" s="288"/>
      <c r="N296" s="288"/>
      <c r="O296" s="353"/>
      <c r="P296" s="353"/>
      <c r="Q296" s="353"/>
      <c r="R296" s="167"/>
      <c r="S296" s="685"/>
    </row>
    <row r="297" spans="1:19" ht="96" customHeight="1" x14ac:dyDescent="0.3">
      <c r="A297" s="680"/>
      <c r="B297" s="663"/>
      <c r="C297" s="357" t="s">
        <v>165</v>
      </c>
      <c r="D297" s="259" t="s">
        <v>495</v>
      </c>
      <c r="E297" s="357" t="s">
        <v>38</v>
      </c>
      <c r="F297" s="179">
        <v>0</v>
      </c>
      <c r="G297" s="179">
        <v>0</v>
      </c>
      <c r="H297" s="358">
        <v>100</v>
      </c>
      <c r="I297" s="353"/>
      <c r="J297" s="379" t="str">
        <f>C297</f>
        <v>5.1.</v>
      </c>
      <c r="K297" s="361" t="s">
        <v>496</v>
      </c>
      <c r="L297" s="357" t="s">
        <v>38</v>
      </c>
      <c r="M297" s="286">
        <v>71</v>
      </c>
      <c r="N297" s="286">
        <v>71</v>
      </c>
      <c r="O297" s="358">
        <f t="shared" si="50"/>
        <v>100</v>
      </c>
      <c r="P297" s="305"/>
      <c r="Q297" s="353"/>
      <c r="R297" s="266"/>
      <c r="S297" s="685"/>
    </row>
    <row r="298" spans="1:19" ht="181.5" x14ac:dyDescent="0.3">
      <c r="A298" s="680"/>
      <c r="B298" s="663"/>
      <c r="C298" s="357" t="s">
        <v>166</v>
      </c>
      <c r="D298" s="259" t="s">
        <v>497</v>
      </c>
      <c r="E298" s="357" t="s">
        <v>38</v>
      </c>
      <c r="F298" s="357" t="s">
        <v>498</v>
      </c>
      <c r="G298" s="357" t="s">
        <v>498</v>
      </c>
      <c r="H298" s="179" t="s">
        <v>498</v>
      </c>
      <c r="I298" s="357"/>
      <c r="J298" s="379"/>
      <c r="K298" s="361"/>
      <c r="L298" s="357"/>
      <c r="M298" s="286"/>
      <c r="N298" s="286"/>
      <c r="O298" s="358"/>
      <c r="P298" s="305"/>
      <c r="Q298" s="353"/>
      <c r="R298" s="266"/>
      <c r="S298" s="685"/>
    </row>
    <row r="299" spans="1:19" ht="33" x14ac:dyDescent="0.3">
      <c r="A299" s="680"/>
      <c r="B299" s="663"/>
      <c r="C299" s="17"/>
      <c r="D299" s="21" t="s">
        <v>6</v>
      </c>
      <c r="E299" s="30"/>
      <c r="F299" s="100"/>
      <c r="G299" s="103"/>
      <c r="H299" s="7"/>
      <c r="I299" s="7">
        <f>H297</f>
        <v>100</v>
      </c>
      <c r="J299" s="384"/>
      <c r="K299" s="21" t="s">
        <v>6</v>
      </c>
      <c r="L299" s="30"/>
      <c r="M299" s="101"/>
      <c r="N299" s="101"/>
      <c r="O299" s="7"/>
      <c r="P299" s="7">
        <f>O297</f>
        <v>100</v>
      </c>
      <c r="Q299" s="7">
        <f>(I299+P299)/2</f>
        <v>100</v>
      </c>
      <c r="R299" s="176" t="s">
        <v>31</v>
      </c>
      <c r="S299" s="685"/>
    </row>
    <row r="300" spans="1:19" ht="127.5" customHeight="1" x14ac:dyDescent="0.3">
      <c r="A300" s="680"/>
      <c r="B300" s="663"/>
      <c r="C300" s="354" t="s">
        <v>170</v>
      </c>
      <c r="D300" s="22" t="s">
        <v>525</v>
      </c>
      <c r="E300" s="357"/>
      <c r="F300" s="179"/>
      <c r="G300" s="358"/>
      <c r="H300" s="353"/>
      <c r="I300" s="353"/>
      <c r="J300" s="58" t="str">
        <f>C300</f>
        <v>VI</v>
      </c>
      <c r="K300" s="22" t="str">
        <f>D300</f>
        <v>Реализация дополнительных образовательных программ спортивной подготовки по олимпийским видам спорта 
Спортивная борьба (учебно-тренировочный этап (этап спортивной специализации))</v>
      </c>
      <c r="L300" s="354"/>
      <c r="M300" s="288"/>
      <c r="N300" s="288"/>
      <c r="O300" s="353"/>
      <c r="P300" s="353"/>
      <c r="Q300" s="353"/>
      <c r="R300" s="167"/>
      <c r="S300" s="685"/>
    </row>
    <row r="301" spans="1:19" ht="96" customHeight="1" x14ac:dyDescent="0.3">
      <c r="A301" s="680"/>
      <c r="B301" s="663"/>
      <c r="C301" s="357" t="s">
        <v>171</v>
      </c>
      <c r="D301" s="259" t="s">
        <v>495</v>
      </c>
      <c r="E301" s="357" t="s">
        <v>38</v>
      </c>
      <c r="F301" s="179">
        <v>0</v>
      </c>
      <c r="G301" s="179">
        <v>0</v>
      </c>
      <c r="H301" s="358">
        <v>100</v>
      </c>
      <c r="I301" s="353"/>
      <c r="J301" s="379" t="str">
        <f>C301</f>
        <v>6.1.</v>
      </c>
      <c r="K301" s="361" t="s">
        <v>496</v>
      </c>
      <c r="L301" s="357" t="s">
        <v>38</v>
      </c>
      <c r="M301" s="286">
        <v>42</v>
      </c>
      <c r="N301" s="286">
        <v>42</v>
      </c>
      <c r="O301" s="358">
        <f t="shared" si="50"/>
        <v>100</v>
      </c>
      <c r="P301" s="305"/>
      <c r="Q301" s="353"/>
      <c r="R301" s="266"/>
      <c r="S301" s="685"/>
    </row>
    <row r="302" spans="1:19" ht="181.5" x14ac:dyDescent="0.3">
      <c r="A302" s="680"/>
      <c r="B302" s="663"/>
      <c r="C302" s="357" t="s">
        <v>172</v>
      </c>
      <c r="D302" s="259" t="s">
        <v>497</v>
      </c>
      <c r="E302" s="357" t="s">
        <v>38</v>
      </c>
      <c r="F302" s="357" t="s">
        <v>498</v>
      </c>
      <c r="G302" s="357" t="s">
        <v>498</v>
      </c>
      <c r="H302" s="179" t="s">
        <v>498</v>
      </c>
      <c r="I302" s="357"/>
      <c r="J302" s="379"/>
      <c r="K302" s="361"/>
      <c r="L302" s="357"/>
      <c r="M302" s="286"/>
      <c r="N302" s="286"/>
      <c r="O302" s="358"/>
      <c r="P302" s="305"/>
      <c r="Q302" s="353"/>
      <c r="R302" s="266"/>
      <c r="S302" s="685"/>
    </row>
    <row r="303" spans="1:19" ht="33" x14ac:dyDescent="0.3">
      <c r="A303" s="680"/>
      <c r="B303" s="663"/>
      <c r="C303" s="17"/>
      <c r="D303" s="21" t="s">
        <v>6</v>
      </c>
      <c r="E303" s="30"/>
      <c r="F303" s="100"/>
      <c r="G303" s="103"/>
      <c r="H303" s="7"/>
      <c r="I303" s="7">
        <f>H301</f>
        <v>100</v>
      </c>
      <c r="J303" s="384"/>
      <c r="K303" s="21" t="s">
        <v>6</v>
      </c>
      <c r="L303" s="30"/>
      <c r="M303" s="101"/>
      <c r="N303" s="101"/>
      <c r="O303" s="7"/>
      <c r="P303" s="7">
        <f>O301</f>
        <v>100</v>
      </c>
      <c r="Q303" s="7">
        <f>(I303+P303)/2</f>
        <v>100</v>
      </c>
      <c r="R303" s="176" t="s">
        <v>31</v>
      </c>
      <c r="S303" s="685"/>
    </row>
    <row r="304" spans="1:19" ht="99" x14ac:dyDescent="0.3">
      <c r="A304" s="680"/>
      <c r="B304" s="663"/>
      <c r="C304" s="354" t="s">
        <v>207</v>
      </c>
      <c r="D304" s="22" t="s">
        <v>546</v>
      </c>
      <c r="E304" s="357"/>
      <c r="F304" s="179"/>
      <c r="G304" s="358"/>
      <c r="H304" s="353"/>
      <c r="I304" s="353"/>
      <c r="J304" s="58" t="str">
        <f>C304</f>
        <v>VII</v>
      </c>
      <c r="K304" s="22" t="str">
        <f>D304</f>
        <v>Реализация дополнительных образовательных программ спортивной подготовки по неолимпийским видам спорта 
Каратэ (этап начальной подготовки)</v>
      </c>
      <c r="L304" s="354"/>
      <c r="M304" s="288"/>
      <c r="N304" s="288"/>
      <c r="O304" s="353"/>
      <c r="P304" s="353"/>
      <c r="Q304" s="353"/>
      <c r="R304" s="167"/>
      <c r="S304" s="685"/>
    </row>
    <row r="305" spans="1:19" ht="96" customHeight="1" x14ac:dyDescent="0.3">
      <c r="A305" s="680"/>
      <c r="B305" s="663"/>
      <c r="C305" s="357" t="s">
        <v>208</v>
      </c>
      <c r="D305" s="259" t="s">
        <v>495</v>
      </c>
      <c r="E305" s="357" t="s">
        <v>38</v>
      </c>
      <c r="F305" s="179">
        <v>0</v>
      </c>
      <c r="G305" s="179">
        <v>0</v>
      </c>
      <c r="H305" s="358">
        <v>100</v>
      </c>
      <c r="I305" s="353"/>
      <c r="J305" s="379" t="str">
        <f>C305</f>
        <v>7.1.</v>
      </c>
      <c r="K305" s="361" t="s">
        <v>496</v>
      </c>
      <c r="L305" s="357" t="s">
        <v>38</v>
      </c>
      <c r="M305" s="286">
        <v>12</v>
      </c>
      <c r="N305" s="286">
        <v>12</v>
      </c>
      <c r="O305" s="358">
        <f t="shared" si="50"/>
        <v>100</v>
      </c>
      <c r="P305" s="305"/>
      <c r="Q305" s="353"/>
      <c r="R305" s="266"/>
      <c r="S305" s="685"/>
    </row>
    <row r="306" spans="1:19" ht="181.5" x14ac:dyDescent="0.3">
      <c r="A306" s="680"/>
      <c r="B306" s="663"/>
      <c r="C306" s="357" t="s">
        <v>212</v>
      </c>
      <c r="D306" s="259" t="s">
        <v>497</v>
      </c>
      <c r="E306" s="357" t="s">
        <v>38</v>
      </c>
      <c r="F306" s="357" t="s">
        <v>498</v>
      </c>
      <c r="G306" s="357" t="s">
        <v>498</v>
      </c>
      <c r="H306" s="179" t="s">
        <v>498</v>
      </c>
      <c r="I306" s="357"/>
      <c r="J306" s="379"/>
      <c r="K306" s="361"/>
      <c r="L306" s="357"/>
      <c r="M306" s="286"/>
      <c r="N306" s="286"/>
      <c r="O306" s="358"/>
      <c r="P306" s="305"/>
      <c r="Q306" s="353"/>
      <c r="R306" s="266"/>
      <c r="S306" s="685"/>
    </row>
    <row r="307" spans="1:19" ht="33" x14ac:dyDescent="0.3">
      <c r="A307" s="680"/>
      <c r="B307" s="663"/>
      <c r="C307" s="17"/>
      <c r="D307" s="21" t="s">
        <v>6</v>
      </c>
      <c r="E307" s="30"/>
      <c r="F307" s="100"/>
      <c r="G307" s="103"/>
      <c r="H307" s="7"/>
      <c r="I307" s="7">
        <f>H305</f>
        <v>100</v>
      </c>
      <c r="J307" s="384"/>
      <c r="K307" s="21" t="s">
        <v>6</v>
      </c>
      <c r="L307" s="30"/>
      <c r="M307" s="101"/>
      <c r="N307" s="101"/>
      <c r="O307" s="7"/>
      <c r="P307" s="7">
        <f>O305</f>
        <v>100</v>
      </c>
      <c r="Q307" s="7">
        <f>(I307+P307)/2</f>
        <v>100</v>
      </c>
      <c r="R307" s="176" t="s">
        <v>31</v>
      </c>
      <c r="S307" s="685"/>
    </row>
    <row r="308" spans="1:19" ht="115.5" x14ac:dyDescent="0.3">
      <c r="A308" s="680"/>
      <c r="B308" s="663"/>
      <c r="C308" s="354" t="s">
        <v>209</v>
      </c>
      <c r="D308" s="22" t="s">
        <v>547</v>
      </c>
      <c r="E308" s="357"/>
      <c r="F308" s="179"/>
      <c r="G308" s="358"/>
      <c r="H308" s="353"/>
      <c r="I308" s="353"/>
      <c r="J308" s="58" t="str">
        <f>C308</f>
        <v>VIII</v>
      </c>
      <c r="K308" s="22" t="str">
        <f>D308</f>
        <v>Реализация дополнительных образовательных программ спортивной подготовки по неолимпийским видам спорта 
Каратэ (учебно-тренировочный этап (этап спортивной специализации))</v>
      </c>
      <c r="L308" s="354"/>
      <c r="M308" s="288"/>
      <c r="N308" s="288"/>
      <c r="O308" s="353"/>
      <c r="P308" s="353"/>
      <c r="Q308" s="353"/>
      <c r="R308" s="167"/>
      <c r="S308" s="685"/>
    </row>
    <row r="309" spans="1:19" ht="96" customHeight="1" x14ac:dyDescent="0.3">
      <c r="A309" s="680"/>
      <c r="B309" s="663"/>
      <c r="C309" s="357" t="s">
        <v>210</v>
      </c>
      <c r="D309" s="259" t="s">
        <v>495</v>
      </c>
      <c r="E309" s="357" t="s">
        <v>38</v>
      </c>
      <c r="F309" s="179">
        <v>0</v>
      </c>
      <c r="G309" s="179">
        <v>0</v>
      </c>
      <c r="H309" s="358">
        <v>100</v>
      </c>
      <c r="I309" s="353"/>
      <c r="J309" s="379" t="str">
        <f>C309</f>
        <v>8.1.</v>
      </c>
      <c r="K309" s="361" t="s">
        <v>496</v>
      </c>
      <c r="L309" s="357" t="s">
        <v>38</v>
      </c>
      <c r="M309" s="286">
        <v>29</v>
      </c>
      <c r="N309" s="286">
        <v>29</v>
      </c>
      <c r="O309" s="358">
        <f t="shared" si="50"/>
        <v>100</v>
      </c>
      <c r="P309" s="305"/>
      <c r="Q309" s="353"/>
      <c r="R309" s="266"/>
      <c r="S309" s="685"/>
    </row>
    <row r="310" spans="1:19" ht="181.5" x14ac:dyDescent="0.3">
      <c r="A310" s="680"/>
      <c r="B310" s="663"/>
      <c r="C310" s="357" t="s">
        <v>249</v>
      </c>
      <c r="D310" s="259" t="s">
        <v>497</v>
      </c>
      <c r="E310" s="357" t="s">
        <v>38</v>
      </c>
      <c r="F310" s="357" t="s">
        <v>498</v>
      </c>
      <c r="G310" s="357" t="s">
        <v>498</v>
      </c>
      <c r="H310" s="179" t="s">
        <v>498</v>
      </c>
      <c r="I310" s="357"/>
      <c r="J310" s="379"/>
      <c r="K310" s="361"/>
      <c r="L310" s="357"/>
      <c r="M310" s="286"/>
      <c r="N310" s="286"/>
      <c r="O310" s="358"/>
      <c r="P310" s="305"/>
      <c r="Q310" s="353"/>
      <c r="R310" s="266"/>
      <c r="S310" s="685"/>
    </row>
    <row r="311" spans="1:19" ht="33" x14ac:dyDescent="0.3">
      <c r="A311" s="680"/>
      <c r="B311" s="663"/>
      <c r="C311" s="17"/>
      <c r="D311" s="21" t="s">
        <v>6</v>
      </c>
      <c r="E311" s="30"/>
      <c r="F311" s="100"/>
      <c r="G311" s="103"/>
      <c r="H311" s="7"/>
      <c r="I311" s="7">
        <f>H309</f>
        <v>100</v>
      </c>
      <c r="J311" s="384"/>
      <c r="K311" s="21" t="s">
        <v>6</v>
      </c>
      <c r="L311" s="30"/>
      <c r="M311" s="101"/>
      <c r="N311" s="101"/>
      <c r="O311" s="7"/>
      <c r="P311" s="7">
        <f>O309</f>
        <v>100</v>
      </c>
      <c r="Q311" s="7">
        <f>(I311+P311)/2</f>
        <v>100</v>
      </c>
      <c r="R311" s="176" t="s">
        <v>31</v>
      </c>
      <c r="S311" s="685"/>
    </row>
    <row r="312" spans="1:19" ht="115.5" customHeight="1" x14ac:dyDescent="0.3">
      <c r="A312" s="680"/>
      <c r="B312" s="663"/>
      <c r="C312" s="354" t="s">
        <v>357</v>
      </c>
      <c r="D312" s="22" t="s">
        <v>548</v>
      </c>
      <c r="E312" s="357"/>
      <c r="F312" s="179"/>
      <c r="G312" s="358"/>
      <c r="H312" s="353"/>
      <c r="I312" s="353"/>
      <c r="J312" s="58" t="str">
        <f>C312</f>
        <v>IX</v>
      </c>
      <c r="K312" s="22" t="str">
        <f>D312</f>
        <v>Реализация дополнительных образовательных программ спортивной подготовки по неолимпийским видам спорта 
Самбо (этап начальной подготовки)</v>
      </c>
      <c r="L312" s="354"/>
      <c r="M312" s="288"/>
      <c r="N312" s="288"/>
      <c r="O312" s="353"/>
      <c r="P312" s="353"/>
      <c r="Q312" s="353"/>
      <c r="R312" s="167"/>
      <c r="S312" s="685"/>
    </row>
    <row r="313" spans="1:19" ht="96" customHeight="1" x14ac:dyDescent="0.3">
      <c r="A313" s="680"/>
      <c r="B313" s="663"/>
      <c r="C313" s="357" t="s">
        <v>358</v>
      </c>
      <c r="D313" s="259" t="s">
        <v>495</v>
      </c>
      <c r="E313" s="357" t="s">
        <v>38</v>
      </c>
      <c r="F313" s="179">
        <v>0</v>
      </c>
      <c r="G313" s="179">
        <v>0</v>
      </c>
      <c r="H313" s="358">
        <v>100</v>
      </c>
      <c r="I313" s="353"/>
      <c r="J313" s="379" t="str">
        <f>C313</f>
        <v>9.1.</v>
      </c>
      <c r="K313" s="361" t="s">
        <v>496</v>
      </c>
      <c r="L313" s="357" t="s">
        <v>38</v>
      </c>
      <c r="M313" s="286">
        <v>44</v>
      </c>
      <c r="N313" s="286">
        <v>44</v>
      </c>
      <c r="O313" s="358">
        <f t="shared" si="50"/>
        <v>100</v>
      </c>
      <c r="P313" s="305"/>
      <c r="Q313" s="353"/>
      <c r="R313" s="266"/>
      <c r="S313" s="685"/>
    </row>
    <row r="314" spans="1:19" ht="181.5" x14ac:dyDescent="0.3">
      <c r="A314" s="680"/>
      <c r="B314" s="663"/>
      <c r="C314" s="357" t="s">
        <v>359</v>
      </c>
      <c r="D314" s="259" t="s">
        <v>497</v>
      </c>
      <c r="E314" s="357" t="s">
        <v>38</v>
      </c>
      <c r="F314" s="357" t="s">
        <v>498</v>
      </c>
      <c r="G314" s="357" t="s">
        <v>498</v>
      </c>
      <c r="H314" s="179" t="s">
        <v>498</v>
      </c>
      <c r="I314" s="357"/>
      <c r="J314" s="379"/>
      <c r="K314" s="361"/>
      <c r="L314" s="357"/>
      <c r="M314" s="286"/>
      <c r="N314" s="286"/>
      <c r="O314" s="358"/>
      <c r="P314" s="305"/>
      <c r="Q314" s="353"/>
      <c r="R314" s="266"/>
      <c r="S314" s="685"/>
    </row>
    <row r="315" spans="1:19" ht="33" x14ac:dyDescent="0.3">
      <c r="A315" s="680"/>
      <c r="B315" s="663"/>
      <c r="C315" s="17"/>
      <c r="D315" s="21" t="s">
        <v>6</v>
      </c>
      <c r="E315" s="30"/>
      <c r="F315" s="100"/>
      <c r="G315" s="103"/>
      <c r="H315" s="7"/>
      <c r="I315" s="7">
        <f>H313</f>
        <v>100</v>
      </c>
      <c r="J315" s="384"/>
      <c r="K315" s="21" t="s">
        <v>6</v>
      </c>
      <c r="L315" s="30"/>
      <c r="M315" s="101"/>
      <c r="N315" s="101"/>
      <c r="O315" s="7"/>
      <c r="P315" s="7">
        <f>O313</f>
        <v>100</v>
      </c>
      <c r="Q315" s="7">
        <f>(I315+P315)/2</f>
        <v>100</v>
      </c>
      <c r="R315" s="176" t="s">
        <v>31</v>
      </c>
      <c r="S315" s="685"/>
    </row>
    <row r="316" spans="1:19" ht="115.5" x14ac:dyDescent="0.3">
      <c r="A316" s="680"/>
      <c r="B316" s="663"/>
      <c r="C316" s="354" t="s">
        <v>396</v>
      </c>
      <c r="D316" s="22" t="s">
        <v>549</v>
      </c>
      <c r="E316" s="357"/>
      <c r="F316" s="179"/>
      <c r="G316" s="358"/>
      <c r="H316" s="353"/>
      <c r="I316" s="353"/>
      <c r="J316" s="58" t="str">
        <f>C316</f>
        <v>X</v>
      </c>
      <c r="K316" s="22" t="str">
        <f>D316</f>
        <v>Реализация дополнительных образовательных программ спортивной подготовки по неолимпийским видам спорта 
Самбо (учебно-тренировочный этап (этап спортивной специализации))</v>
      </c>
      <c r="L316" s="354"/>
      <c r="M316" s="288"/>
      <c r="N316" s="288"/>
      <c r="O316" s="353"/>
      <c r="P316" s="353"/>
      <c r="Q316" s="353"/>
      <c r="R316" s="167"/>
      <c r="S316" s="685"/>
    </row>
    <row r="317" spans="1:19" ht="96" customHeight="1" x14ac:dyDescent="0.3">
      <c r="A317" s="680"/>
      <c r="B317" s="663"/>
      <c r="C317" s="357" t="s">
        <v>397</v>
      </c>
      <c r="D317" s="259" t="s">
        <v>495</v>
      </c>
      <c r="E317" s="357" t="s">
        <v>38</v>
      </c>
      <c r="F317" s="179">
        <v>0</v>
      </c>
      <c r="G317" s="179">
        <v>0</v>
      </c>
      <c r="H317" s="358">
        <v>100</v>
      </c>
      <c r="I317" s="353"/>
      <c r="J317" s="379" t="str">
        <f>C317</f>
        <v>10.1.</v>
      </c>
      <c r="K317" s="361" t="s">
        <v>496</v>
      </c>
      <c r="L317" s="357" t="s">
        <v>38</v>
      </c>
      <c r="M317" s="286">
        <v>29</v>
      </c>
      <c r="N317" s="286">
        <v>29</v>
      </c>
      <c r="O317" s="358">
        <f t="shared" si="50"/>
        <v>100</v>
      </c>
      <c r="P317" s="305"/>
      <c r="Q317" s="353"/>
      <c r="R317" s="266"/>
      <c r="S317" s="685"/>
    </row>
    <row r="318" spans="1:19" ht="181.5" x14ac:dyDescent="0.3">
      <c r="A318" s="680"/>
      <c r="B318" s="663"/>
      <c r="C318" s="357" t="s">
        <v>429</v>
      </c>
      <c r="D318" s="259" t="s">
        <v>497</v>
      </c>
      <c r="E318" s="357" t="s">
        <v>38</v>
      </c>
      <c r="F318" s="357" t="s">
        <v>498</v>
      </c>
      <c r="G318" s="357" t="s">
        <v>498</v>
      </c>
      <c r="H318" s="179" t="s">
        <v>498</v>
      </c>
      <c r="I318" s="357"/>
      <c r="J318" s="379"/>
      <c r="K318" s="361"/>
      <c r="L318" s="357"/>
      <c r="M318" s="286"/>
      <c r="N318" s="286"/>
      <c r="O318" s="358"/>
      <c r="P318" s="305"/>
      <c r="Q318" s="353"/>
      <c r="R318" s="266"/>
      <c r="S318" s="685"/>
    </row>
    <row r="319" spans="1:19" ht="33" x14ac:dyDescent="0.3">
      <c r="A319" s="680"/>
      <c r="B319" s="663"/>
      <c r="C319" s="17"/>
      <c r="D319" s="21" t="s">
        <v>6</v>
      </c>
      <c r="E319" s="30"/>
      <c r="F319" s="100"/>
      <c r="G319" s="103"/>
      <c r="H319" s="7"/>
      <c r="I319" s="7">
        <f>H317</f>
        <v>100</v>
      </c>
      <c r="J319" s="384"/>
      <c r="K319" s="21" t="s">
        <v>6</v>
      </c>
      <c r="L319" s="30"/>
      <c r="M319" s="101"/>
      <c r="N319" s="101"/>
      <c r="O319" s="7"/>
      <c r="P319" s="7">
        <f>O317</f>
        <v>100</v>
      </c>
      <c r="Q319" s="7">
        <f>(I319+P319)/2</f>
        <v>100</v>
      </c>
      <c r="R319" s="176" t="s">
        <v>31</v>
      </c>
      <c r="S319" s="685"/>
    </row>
    <row r="320" spans="1:19" ht="33" x14ac:dyDescent="0.3">
      <c r="A320" s="680"/>
      <c r="B320" s="663"/>
      <c r="C320" s="257" t="s">
        <v>395</v>
      </c>
      <c r="D320" s="22" t="s">
        <v>502</v>
      </c>
      <c r="E320" s="354"/>
      <c r="F320" s="203"/>
      <c r="G320" s="353"/>
      <c r="H320" s="353"/>
      <c r="I320" s="353"/>
      <c r="J320" s="58" t="str">
        <f t="shared" ref="J320:J321" si="51">C320</f>
        <v>XI</v>
      </c>
      <c r="K320" s="22" t="str">
        <f>D320</f>
        <v xml:space="preserve">Реализация дополнительных общеразвивающих программ </v>
      </c>
      <c r="L320" s="354"/>
      <c r="M320" s="37"/>
      <c r="N320" s="37"/>
      <c r="O320" s="353"/>
      <c r="P320" s="265"/>
      <c r="Q320" s="353"/>
      <c r="R320" s="167"/>
      <c r="S320" s="685"/>
    </row>
    <row r="321" spans="1:115" x14ac:dyDescent="0.3">
      <c r="A321" s="680"/>
      <c r="B321" s="663"/>
      <c r="C321" s="17" t="s">
        <v>402</v>
      </c>
      <c r="D321" s="361" t="s">
        <v>498</v>
      </c>
      <c r="E321" s="361" t="s">
        <v>498</v>
      </c>
      <c r="F321" s="361" t="s">
        <v>498</v>
      </c>
      <c r="G321" s="361" t="s">
        <v>498</v>
      </c>
      <c r="H321" s="179" t="s">
        <v>498</v>
      </c>
      <c r="I321" s="361"/>
      <c r="J321" s="379" t="str">
        <f t="shared" si="51"/>
        <v>11.1.</v>
      </c>
      <c r="K321" s="271" t="s">
        <v>203</v>
      </c>
      <c r="L321" s="357" t="s">
        <v>204</v>
      </c>
      <c r="M321" s="272">
        <v>28650</v>
      </c>
      <c r="N321" s="272">
        <v>28416</v>
      </c>
      <c r="O321" s="358">
        <f t="shared" si="50"/>
        <v>99.18324607329842</v>
      </c>
      <c r="P321" s="265"/>
      <c r="Q321" s="353"/>
      <c r="R321" s="266"/>
      <c r="S321" s="685"/>
    </row>
    <row r="322" spans="1:115" ht="33" x14ac:dyDescent="0.3">
      <c r="A322" s="680"/>
      <c r="B322" s="663"/>
      <c r="C322" s="357"/>
      <c r="D322" s="21" t="s">
        <v>6</v>
      </c>
      <c r="E322" s="30"/>
      <c r="F322" s="105"/>
      <c r="G322" s="106"/>
      <c r="H322" s="7"/>
      <c r="I322" s="7" t="s">
        <v>555</v>
      </c>
      <c r="J322" s="380"/>
      <c r="K322" s="21" t="s">
        <v>6</v>
      </c>
      <c r="L322" s="355"/>
      <c r="M322" s="355"/>
      <c r="N322" s="355"/>
      <c r="O322" s="7"/>
      <c r="P322" s="7">
        <f>O321</f>
        <v>99.18324607329842</v>
      </c>
      <c r="Q322" s="7">
        <f>P322</f>
        <v>99.18324607329842</v>
      </c>
      <c r="R322" s="176" t="s">
        <v>361</v>
      </c>
      <c r="S322" s="685"/>
    </row>
    <row r="323" spans="1:115" ht="49.5" x14ac:dyDescent="0.3">
      <c r="A323" s="680"/>
      <c r="B323" s="663"/>
      <c r="C323" s="257" t="s">
        <v>401</v>
      </c>
      <c r="D323" s="22" t="s">
        <v>306</v>
      </c>
      <c r="E323" s="354"/>
      <c r="F323" s="203"/>
      <c r="G323" s="353"/>
      <c r="H323" s="353"/>
      <c r="I323" s="353"/>
      <c r="J323" s="58" t="str">
        <f t="shared" ref="J323:J324" si="52">C323</f>
        <v>XII</v>
      </c>
      <c r="K323" s="22" t="str">
        <f>D323</f>
        <v>Организация мероприятий по подготовке спортивных сборных команд</v>
      </c>
      <c r="L323" s="354"/>
      <c r="M323" s="37"/>
      <c r="N323" s="37"/>
      <c r="O323" s="353"/>
      <c r="P323" s="265"/>
      <c r="Q323" s="353"/>
      <c r="R323" s="167"/>
      <c r="S323" s="685"/>
    </row>
    <row r="324" spans="1:115" ht="82.5" x14ac:dyDescent="0.3">
      <c r="A324" s="680"/>
      <c r="B324" s="663"/>
      <c r="C324" s="17" t="s">
        <v>404</v>
      </c>
      <c r="D324" s="361" t="s">
        <v>307</v>
      </c>
      <c r="E324" s="357" t="s">
        <v>25</v>
      </c>
      <c r="F324" s="179">
        <v>5</v>
      </c>
      <c r="G324" s="358">
        <v>19.7</v>
      </c>
      <c r="H324" s="358">
        <f>IF(G324/F324*100&gt;100,100,G324/F324*100)</f>
        <v>100</v>
      </c>
      <c r="I324" s="353"/>
      <c r="J324" s="379" t="str">
        <f t="shared" si="52"/>
        <v>12.1.</v>
      </c>
      <c r="K324" s="361" t="s">
        <v>400</v>
      </c>
      <c r="L324" s="357" t="s">
        <v>38</v>
      </c>
      <c r="M324" s="272">
        <v>68</v>
      </c>
      <c r="N324" s="272">
        <v>100</v>
      </c>
      <c r="O324" s="358">
        <f t="shared" si="50"/>
        <v>110</v>
      </c>
      <c r="P324" s="265"/>
      <c r="Q324" s="353"/>
      <c r="R324" s="266"/>
      <c r="S324" s="685"/>
    </row>
    <row r="325" spans="1:115" ht="33.75" thickBot="1" x14ac:dyDescent="0.35">
      <c r="A325" s="681"/>
      <c r="B325" s="683"/>
      <c r="C325" s="402"/>
      <c r="D325" s="403" t="s">
        <v>6</v>
      </c>
      <c r="E325" s="404"/>
      <c r="F325" s="405"/>
      <c r="G325" s="406"/>
      <c r="H325" s="407"/>
      <c r="I325" s="407">
        <f>H324</f>
        <v>100</v>
      </c>
      <c r="J325" s="408"/>
      <c r="K325" s="403" t="s">
        <v>6</v>
      </c>
      <c r="L325" s="404"/>
      <c r="M325" s="409"/>
      <c r="N325" s="409"/>
      <c r="O325" s="407"/>
      <c r="P325" s="407">
        <f>O324</f>
        <v>110</v>
      </c>
      <c r="Q325" s="407">
        <f>(I325+P325)/2</f>
        <v>105</v>
      </c>
      <c r="R325" s="176" t="s">
        <v>31</v>
      </c>
      <c r="S325" s="686"/>
    </row>
    <row r="326" spans="1:115" customFormat="1" ht="72" customHeight="1" x14ac:dyDescent="0.3">
      <c r="A326" s="687" t="s">
        <v>81</v>
      </c>
      <c r="B326" s="657" t="s">
        <v>308</v>
      </c>
      <c r="C326" s="410" t="s">
        <v>12</v>
      </c>
      <c r="D326" s="411" t="s">
        <v>511</v>
      </c>
      <c r="E326" s="364"/>
      <c r="F326" s="412"/>
      <c r="G326" s="413"/>
      <c r="H326" s="376"/>
      <c r="I326" s="376"/>
      <c r="J326" s="414" t="s">
        <v>12</v>
      </c>
      <c r="K326" s="411" t="str">
        <f>D326</f>
        <v>Организация физкультурно-спортивной работы по месту жительства граждан</v>
      </c>
      <c r="L326" s="364"/>
      <c r="M326" s="415"/>
      <c r="N326" s="415"/>
      <c r="O326" s="376"/>
      <c r="P326" s="416"/>
      <c r="Q326" s="376"/>
      <c r="R326" s="417"/>
      <c r="S326" s="675" t="s">
        <v>279</v>
      </c>
      <c r="T326" s="438"/>
      <c r="U326" s="55"/>
    </row>
    <row r="327" spans="1:115" customFormat="1" ht="18.75" customHeight="1" x14ac:dyDescent="0.3">
      <c r="A327" s="687"/>
      <c r="B327" s="657"/>
      <c r="C327" s="371" t="s">
        <v>7</v>
      </c>
      <c r="D327" s="377" t="s">
        <v>51</v>
      </c>
      <c r="E327" s="371" t="s">
        <v>41</v>
      </c>
      <c r="F327" s="74">
        <v>3</v>
      </c>
      <c r="G327" s="74">
        <v>0</v>
      </c>
      <c r="H327" s="24">
        <v>100</v>
      </c>
      <c r="I327" s="372"/>
      <c r="J327" s="418" t="s">
        <v>7</v>
      </c>
      <c r="K327" s="377" t="s">
        <v>219</v>
      </c>
      <c r="L327" s="371" t="s">
        <v>36</v>
      </c>
      <c r="M327" s="96">
        <v>4090</v>
      </c>
      <c r="N327" s="96">
        <v>4090</v>
      </c>
      <c r="O327" s="24">
        <f t="shared" si="50"/>
        <v>100</v>
      </c>
      <c r="P327" s="306"/>
      <c r="Q327" s="372"/>
      <c r="R327" s="165"/>
      <c r="S327" s="669"/>
      <c r="T327" s="438"/>
      <c r="U327" s="55"/>
    </row>
    <row r="328" spans="1:115" s="16" customFormat="1" ht="33" x14ac:dyDescent="0.3">
      <c r="A328" s="687"/>
      <c r="B328" s="657"/>
      <c r="C328" s="171"/>
      <c r="D328" s="21" t="s">
        <v>6</v>
      </c>
      <c r="E328" s="30"/>
      <c r="F328" s="100"/>
      <c r="G328" s="103"/>
      <c r="H328" s="7"/>
      <c r="I328" s="7">
        <f>H327</f>
        <v>100</v>
      </c>
      <c r="J328" s="384"/>
      <c r="K328" s="21" t="s">
        <v>6</v>
      </c>
      <c r="L328" s="30"/>
      <c r="M328" s="101"/>
      <c r="N328" s="101"/>
      <c r="O328" s="7"/>
      <c r="P328" s="7">
        <f>O327</f>
        <v>100</v>
      </c>
      <c r="Q328" s="7">
        <f>(I328+P328)/2</f>
        <v>100</v>
      </c>
      <c r="R328" s="176" t="s">
        <v>31</v>
      </c>
      <c r="S328" s="669"/>
      <c r="T328" s="438"/>
      <c r="U328" s="173"/>
    </row>
    <row r="329" spans="1:115" customFormat="1" ht="33" x14ac:dyDescent="0.3">
      <c r="A329" s="687"/>
      <c r="B329" s="657"/>
      <c r="C329" s="369" t="s">
        <v>13</v>
      </c>
      <c r="D329" s="23" t="s">
        <v>214</v>
      </c>
      <c r="E329" s="371"/>
      <c r="F329" s="74"/>
      <c r="G329" s="24"/>
      <c r="H329" s="372"/>
      <c r="I329" s="372"/>
      <c r="J329" s="296" t="s">
        <v>13</v>
      </c>
      <c r="K329" s="23" t="str">
        <f>D329</f>
        <v>Обеспечение доступа к объектам спорта</v>
      </c>
      <c r="L329" s="371"/>
      <c r="M329" s="12"/>
      <c r="N329" s="12"/>
      <c r="O329" s="372"/>
      <c r="P329" s="97"/>
      <c r="Q329" s="372"/>
      <c r="R329" s="359"/>
      <c r="S329" s="669"/>
      <c r="T329" s="438"/>
      <c r="U329" s="55"/>
    </row>
    <row r="330" spans="1:115" customFormat="1" ht="23.25" customHeight="1" x14ac:dyDescent="0.3">
      <c r="A330" s="687"/>
      <c r="B330" s="657"/>
      <c r="C330" s="371" t="s">
        <v>14</v>
      </c>
      <c r="D330" s="377" t="s">
        <v>51</v>
      </c>
      <c r="E330" s="371" t="s">
        <v>41</v>
      </c>
      <c r="F330" s="74">
        <v>3</v>
      </c>
      <c r="G330" s="74">
        <v>0</v>
      </c>
      <c r="H330" s="24">
        <v>100</v>
      </c>
      <c r="I330" s="372"/>
      <c r="J330" s="418" t="str">
        <f>C330</f>
        <v>2.1.</v>
      </c>
      <c r="K330" s="377" t="s">
        <v>309</v>
      </c>
      <c r="L330" s="371" t="s">
        <v>36</v>
      </c>
      <c r="M330" s="96">
        <v>15</v>
      </c>
      <c r="N330" s="96">
        <v>15</v>
      </c>
      <c r="O330" s="24">
        <f t="shared" si="50"/>
        <v>100</v>
      </c>
      <c r="P330" s="306"/>
      <c r="Q330" s="372"/>
      <c r="R330" s="359"/>
      <c r="S330" s="669"/>
      <c r="T330" s="438"/>
      <c r="U330" s="55"/>
    </row>
    <row r="331" spans="1:115" customFormat="1" ht="97.5" customHeight="1" x14ac:dyDescent="0.3">
      <c r="A331" s="687"/>
      <c r="B331" s="657"/>
      <c r="C331" s="371" t="s">
        <v>15</v>
      </c>
      <c r="D331" s="377" t="s">
        <v>550</v>
      </c>
      <c r="E331" s="371" t="s">
        <v>25</v>
      </c>
      <c r="F331" s="74">
        <v>100</v>
      </c>
      <c r="G331" s="24">
        <v>100</v>
      </c>
      <c r="H331" s="24">
        <f>IF(G331/F331*100&gt;100,100,G331/F331*100)</f>
        <v>100</v>
      </c>
      <c r="I331" s="372"/>
      <c r="J331" s="418"/>
      <c r="K331" s="377"/>
      <c r="L331" s="371"/>
      <c r="M331" s="12"/>
      <c r="N331" s="12"/>
      <c r="O331" s="24"/>
      <c r="P331" s="306"/>
      <c r="Q331" s="372"/>
      <c r="R331" s="359"/>
      <c r="S331" s="669"/>
      <c r="T331" s="438"/>
      <c r="U331" s="55"/>
    </row>
    <row r="332" spans="1:115" customFormat="1" ht="82.5" x14ac:dyDescent="0.3">
      <c r="A332" s="687"/>
      <c r="B332" s="657"/>
      <c r="C332" s="371" t="s">
        <v>39</v>
      </c>
      <c r="D332" s="377" t="s">
        <v>551</v>
      </c>
      <c r="E332" s="371" t="s">
        <v>25</v>
      </c>
      <c r="F332" s="74">
        <v>100</v>
      </c>
      <c r="G332" s="24">
        <v>100</v>
      </c>
      <c r="H332" s="24">
        <f>IF(G332/F332*100&gt;100,100,G332/F332*100)</f>
        <v>100</v>
      </c>
      <c r="I332" s="372"/>
      <c r="J332" s="418"/>
      <c r="K332" s="377"/>
      <c r="L332" s="371"/>
      <c r="M332" s="12"/>
      <c r="N332" s="12"/>
      <c r="O332" s="24"/>
      <c r="P332" s="306"/>
      <c r="Q332" s="372"/>
      <c r="R332" s="359"/>
      <c r="S332" s="669"/>
      <c r="T332" s="438"/>
      <c r="U332" s="55"/>
    </row>
    <row r="333" spans="1:115" s="16" customFormat="1" ht="33" x14ac:dyDescent="0.3">
      <c r="A333" s="687"/>
      <c r="B333" s="657"/>
      <c r="C333" s="171"/>
      <c r="D333" s="21" t="s">
        <v>6</v>
      </c>
      <c r="E333" s="30"/>
      <c r="F333" s="100"/>
      <c r="G333" s="103"/>
      <c r="H333" s="7"/>
      <c r="I333" s="7">
        <f>(H330+H331+H332)/3</f>
        <v>100</v>
      </c>
      <c r="J333" s="384"/>
      <c r="K333" s="21" t="s">
        <v>6</v>
      </c>
      <c r="L333" s="30"/>
      <c r="M333" s="101"/>
      <c r="N333" s="101"/>
      <c r="O333" s="7"/>
      <c r="P333" s="7">
        <f>O330</f>
        <v>100</v>
      </c>
      <c r="Q333" s="7">
        <f>(I333+P333)/2</f>
        <v>100</v>
      </c>
      <c r="R333" s="176" t="s">
        <v>31</v>
      </c>
      <c r="S333" s="669"/>
      <c r="T333" s="438"/>
      <c r="U333" s="180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155"/>
      <c r="CB333" s="155"/>
      <c r="CC333" s="155"/>
      <c r="CD333" s="155"/>
      <c r="CE333" s="155"/>
      <c r="CF333" s="155"/>
      <c r="CG333" s="155"/>
      <c r="CH333" s="155"/>
      <c r="CI333" s="155"/>
      <c r="CJ333" s="155"/>
      <c r="CK333" s="155"/>
      <c r="CL333" s="155"/>
      <c r="CM333" s="155"/>
      <c r="CN333" s="155"/>
      <c r="CO333" s="155"/>
      <c r="CP333" s="155"/>
      <c r="CQ333" s="155"/>
      <c r="CR333" s="155"/>
      <c r="CS333" s="155"/>
      <c r="CT333" s="155"/>
      <c r="CU333" s="155"/>
      <c r="CV333" s="155"/>
      <c r="CW333" s="155"/>
      <c r="CX333" s="155"/>
      <c r="CY333" s="155"/>
      <c r="CZ333" s="155"/>
      <c r="DA333" s="155"/>
      <c r="DB333" s="155"/>
      <c r="DC333" s="155"/>
      <c r="DD333" s="155"/>
      <c r="DE333" s="155"/>
      <c r="DF333" s="155"/>
      <c r="DG333" s="155"/>
      <c r="DH333" s="155"/>
      <c r="DI333" s="155"/>
      <c r="DJ333" s="155"/>
      <c r="DK333" s="155"/>
    </row>
    <row r="334" spans="1:115" customFormat="1" ht="49.5" x14ac:dyDescent="0.3">
      <c r="A334" s="687"/>
      <c r="B334" s="657"/>
      <c r="C334" s="369" t="s">
        <v>28</v>
      </c>
      <c r="D334" s="23" t="s">
        <v>215</v>
      </c>
      <c r="E334" s="371"/>
      <c r="F334" s="74"/>
      <c r="G334" s="24"/>
      <c r="H334" s="372"/>
      <c r="I334" s="372"/>
      <c r="J334" s="296" t="str">
        <f>C334</f>
        <v>III</v>
      </c>
      <c r="K334" s="23" t="str">
        <f>D334</f>
        <v xml:space="preserve">Организация и проведение официальных спортивных мероприятий </v>
      </c>
      <c r="L334" s="371"/>
      <c r="M334" s="12"/>
      <c r="N334" s="12"/>
      <c r="O334" s="372"/>
      <c r="P334" s="95"/>
      <c r="Q334" s="372"/>
      <c r="R334" s="359"/>
      <c r="S334" s="669"/>
      <c r="T334" s="438"/>
      <c r="U334" s="180"/>
      <c r="V334" s="155"/>
      <c r="W334" s="155"/>
      <c r="X334" s="155"/>
      <c r="Y334" s="155"/>
      <c r="Z334" s="155"/>
      <c r="AA334" s="155"/>
      <c r="AB334" s="155"/>
      <c r="AC334" s="155"/>
      <c r="AD334" s="155"/>
      <c r="AE334" s="155"/>
      <c r="AF334" s="155"/>
      <c r="AG334" s="155"/>
      <c r="AH334" s="155"/>
      <c r="AI334" s="155"/>
      <c r="AJ334" s="155"/>
      <c r="AK334" s="155"/>
      <c r="AL334" s="155"/>
      <c r="AM334" s="155"/>
      <c r="AN334" s="155"/>
      <c r="AO334" s="155"/>
      <c r="AP334" s="155"/>
      <c r="AQ334" s="155"/>
      <c r="AR334" s="155"/>
      <c r="AS334" s="155"/>
      <c r="AT334" s="155"/>
      <c r="AU334" s="155"/>
      <c r="AV334" s="155"/>
      <c r="AW334" s="155"/>
      <c r="AX334" s="155"/>
      <c r="AY334" s="155"/>
      <c r="AZ334" s="155"/>
      <c r="BA334" s="155"/>
      <c r="BB334" s="155"/>
      <c r="BC334" s="155"/>
      <c r="BD334" s="155"/>
      <c r="BE334" s="155"/>
      <c r="BF334" s="155"/>
      <c r="BG334" s="155"/>
      <c r="BH334" s="155"/>
      <c r="BI334" s="155"/>
      <c r="BJ334" s="155"/>
      <c r="BK334" s="155"/>
      <c r="BL334" s="155"/>
      <c r="BM334" s="155"/>
      <c r="BN334" s="155"/>
      <c r="BO334" s="155"/>
      <c r="BP334" s="155"/>
      <c r="BQ334" s="155"/>
      <c r="BR334" s="155"/>
      <c r="BS334" s="155"/>
      <c r="BT334" s="155"/>
      <c r="BU334" s="155"/>
      <c r="BV334" s="155"/>
      <c r="BW334" s="155"/>
      <c r="BX334" s="155"/>
      <c r="BY334" s="155"/>
      <c r="BZ334" s="155"/>
      <c r="CA334" s="155"/>
      <c r="CB334" s="155"/>
      <c r="CC334" s="155"/>
      <c r="CD334" s="155"/>
      <c r="CE334" s="155"/>
      <c r="CF334" s="155"/>
      <c r="CG334" s="155"/>
      <c r="CH334" s="155"/>
      <c r="CI334" s="155"/>
      <c r="CJ334" s="155"/>
      <c r="CK334" s="155"/>
      <c r="CL334" s="155"/>
      <c r="CM334" s="155"/>
      <c r="CN334" s="155"/>
      <c r="CO334" s="155"/>
      <c r="CP334" s="155"/>
      <c r="CQ334" s="155"/>
      <c r="CR334" s="155"/>
      <c r="CS334" s="155"/>
      <c r="CT334" s="155"/>
      <c r="CU334" s="155"/>
      <c r="CV334" s="155"/>
      <c r="CW334" s="155"/>
      <c r="CX334" s="155"/>
      <c r="CY334" s="155"/>
      <c r="CZ334" s="155"/>
      <c r="DA334" s="155"/>
      <c r="DB334" s="155"/>
      <c r="DC334" s="155"/>
      <c r="DD334" s="155"/>
      <c r="DE334" s="155"/>
      <c r="DF334" s="155"/>
      <c r="DG334" s="155"/>
      <c r="DH334" s="155"/>
      <c r="DI334" s="155"/>
      <c r="DJ334" s="155"/>
      <c r="DK334" s="155"/>
    </row>
    <row r="335" spans="1:115" customFormat="1" ht="31.5" customHeight="1" x14ac:dyDescent="0.3">
      <c r="A335" s="687"/>
      <c r="B335" s="657"/>
      <c r="C335" s="371" t="s">
        <v>29</v>
      </c>
      <c r="D335" s="377" t="s">
        <v>552</v>
      </c>
      <c r="E335" s="371" t="s">
        <v>38</v>
      </c>
      <c r="F335" s="74">
        <v>500</v>
      </c>
      <c r="G335" s="96">
        <v>500</v>
      </c>
      <c r="H335" s="24">
        <f>IF(G335/F335*100&gt;100,100,G335/F335*100)</f>
        <v>100</v>
      </c>
      <c r="I335" s="372"/>
      <c r="J335" s="418" t="str">
        <f>C335</f>
        <v>3.1.</v>
      </c>
      <c r="K335" s="377" t="s">
        <v>40</v>
      </c>
      <c r="L335" s="371" t="s">
        <v>36</v>
      </c>
      <c r="M335" s="96">
        <v>11</v>
      </c>
      <c r="N335" s="96">
        <v>11</v>
      </c>
      <c r="O335" s="24">
        <f t="shared" si="50"/>
        <v>100</v>
      </c>
      <c r="P335" s="306"/>
      <c r="Q335" s="372"/>
      <c r="R335" s="359"/>
      <c r="S335" s="669"/>
      <c r="T335" s="438"/>
      <c r="U335" s="180"/>
      <c r="V335" s="155"/>
      <c r="W335" s="155"/>
      <c r="X335" s="155"/>
      <c r="Y335" s="155"/>
      <c r="Z335" s="155"/>
      <c r="AA335" s="155"/>
      <c r="AB335" s="155"/>
      <c r="AC335" s="155"/>
      <c r="AD335" s="155"/>
      <c r="AE335" s="155"/>
      <c r="AF335" s="155"/>
      <c r="AG335" s="155"/>
      <c r="AH335" s="155"/>
      <c r="AI335" s="155"/>
      <c r="AJ335" s="155"/>
      <c r="AK335" s="155"/>
      <c r="AL335" s="155"/>
      <c r="AM335" s="155"/>
      <c r="AN335" s="155"/>
      <c r="AO335" s="155"/>
      <c r="AP335" s="155"/>
      <c r="AQ335" s="155"/>
      <c r="AR335" s="155"/>
      <c r="AS335" s="155"/>
      <c r="AT335" s="155"/>
      <c r="AU335" s="155"/>
      <c r="AV335" s="155"/>
      <c r="AW335" s="155"/>
      <c r="AX335" s="155"/>
      <c r="AY335" s="155"/>
      <c r="AZ335" s="155"/>
      <c r="BA335" s="155"/>
      <c r="BB335" s="155"/>
      <c r="BC335" s="155"/>
      <c r="BD335" s="155"/>
      <c r="BE335" s="155"/>
      <c r="BF335" s="155"/>
      <c r="BG335" s="155"/>
      <c r="BH335" s="155"/>
      <c r="BI335" s="155"/>
      <c r="BJ335" s="155"/>
      <c r="BK335" s="155"/>
      <c r="BL335" s="155"/>
      <c r="BM335" s="155"/>
      <c r="BN335" s="155"/>
      <c r="BO335" s="155"/>
      <c r="BP335" s="155"/>
      <c r="BQ335" s="155"/>
      <c r="BR335" s="155"/>
      <c r="BS335" s="155"/>
      <c r="BT335" s="155"/>
      <c r="BU335" s="155"/>
      <c r="BV335" s="155"/>
      <c r="BW335" s="155"/>
      <c r="BX335" s="155"/>
      <c r="BY335" s="155"/>
      <c r="BZ335" s="155"/>
      <c r="CA335" s="155"/>
      <c r="CB335" s="155"/>
      <c r="CC335" s="155"/>
      <c r="CD335" s="155"/>
      <c r="CE335" s="155"/>
      <c r="CF335" s="155"/>
      <c r="CG335" s="155"/>
      <c r="CH335" s="155"/>
      <c r="CI335" s="155"/>
      <c r="CJ335" s="155"/>
      <c r="CK335" s="155"/>
      <c r="CL335" s="155"/>
      <c r="CM335" s="155"/>
      <c r="CN335" s="155"/>
      <c r="CO335" s="155"/>
      <c r="CP335" s="155"/>
      <c r="CQ335" s="155"/>
      <c r="CR335" s="155"/>
      <c r="CS335" s="155"/>
      <c r="CT335" s="155"/>
      <c r="CU335" s="155"/>
      <c r="CV335" s="155"/>
      <c r="CW335" s="155"/>
      <c r="CX335" s="155"/>
      <c r="CY335" s="155"/>
      <c r="CZ335" s="155"/>
      <c r="DA335" s="155"/>
      <c r="DB335" s="155"/>
      <c r="DC335" s="155"/>
      <c r="DD335" s="155"/>
      <c r="DE335" s="155"/>
      <c r="DF335" s="155"/>
      <c r="DG335" s="155"/>
      <c r="DH335" s="155"/>
      <c r="DI335" s="155"/>
      <c r="DJ335" s="155"/>
      <c r="DK335" s="155"/>
    </row>
    <row r="336" spans="1:115" customFormat="1" x14ac:dyDescent="0.3">
      <c r="A336" s="687"/>
      <c r="B336" s="657"/>
      <c r="C336" s="371" t="s">
        <v>30</v>
      </c>
      <c r="D336" s="361" t="s">
        <v>51</v>
      </c>
      <c r="E336" s="371" t="s">
        <v>41</v>
      </c>
      <c r="F336" s="74">
        <v>5</v>
      </c>
      <c r="G336" s="96">
        <v>0</v>
      </c>
      <c r="H336" s="24">
        <v>100</v>
      </c>
      <c r="I336" s="372"/>
      <c r="J336" s="418"/>
      <c r="K336" s="377"/>
      <c r="L336" s="371"/>
      <c r="M336" s="12"/>
      <c r="N336" s="12"/>
      <c r="O336" s="24"/>
      <c r="P336" s="306"/>
      <c r="Q336" s="372"/>
      <c r="R336" s="359"/>
      <c r="S336" s="669"/>
      <c r="T336" s="438"/>
      <c r="U336" s="180"/>
      <c r="V336" s="155"/>
      <c r="W336" s="155"/>
      <c r="X336" s="155"/>
      <c r="Y336" s="155"/>
      <c r="Z336" s="155"/>
      <c r="AA336" s="155"/>
      <c r="AB336" s="155"/>
      <c r="AC336" s="155"/>
      <c r="AD336" s="155"/>
      <c r="AE336" s="155"/>
      <c r="AF336" s="155"/>
      <c r="AG336" s="155"/>
      <c r="AH336" s="155"/>
      <c r="AI336" s="155"/>
      <c r="AJ336" s="155"/>
      <c r="AK336" s="155"/>
      <c r="AL336" s="155"/>
      <c r="AM336" s="155"/>
      <c r="AN336" s="155"/>
      <c r="AO336" s="155"/>
      <c r="AP336" s="155"/>
      <c r="AQ336" s="155"/>
      <c r="AR336" s="155"/>
      <c r="AS336" s="155"/>
      <c r="AT336" s="155"/>
      <c r="AU336" s="155"/>
      <c r="AV336" s="155"/>
      <c r="AW336" s="155"/>
      <c r="AX336" s="155"/>
      <c r="AY336" s="155"/>
      <c r="AZ336" s="155"/>
      <c r="BA336" s="155"/>
      <c r="BB336" s="155"/>
      <c r="BC336" s="155"/>
      <c r="BD336" s="155"/>
      <c r="BE336" s="155"/>
      <c r="BF336" s="155"/>
      <c r="BG336" s="155"/>
      <c r="BH336" s="155"/>
      <c r="BI336" s="155"/>
      <c r="BJ336" s="155"/>
      <c r="BK336" s="155"/>
      <c r="BL336" s="155"/>
      <c r="BM336" s="155"/>
      <c r="BN336" s="155"/>
      <c r="BO336" s="155"/>
      <c r="BP336" s="155"/>
      <c r="BQ336" s="155"/>
      <c r="BR336" s="155"/>
      <c r="BS336" s="155"/>
      <c r="BT336" s="155"/>
      <c r="BU336" s="155"/>
      <c r="BV336" s="155"/>
      <c r="BW336" s="155"/>
      <c r="BX336" s="155"/>
      <c r="BY336" s="155"/>
      <c r="BZ336" s="155"/>
      <c r="CA336" s="155"/>
      <c r="CB336" s="155"/>
      <c r="CC336" s="155"/>
      <c r="CD336" s="155"/>
      <c r="CE336" s="155"/>
      <c r="CF336" s="155"/>
      <c r="CG336" s="155"/>
      <c r="CH336" s="155"/>
      <c r="CI336" s="155"/>
      <c r="CJ336" s="155"/>
      <c r="CK336" s="155"/>
      <c r="CL336" s="155"/>
      <c r="CM336" s="155"/>
      <c r="CN336" s="155"/>
      <c r="CO336" s="155"/>
      <c r="CP336" s="155"/>
      <c r="CQ336" s="155"/>
      <c r="CR336" s="155"/>
      <c r="CS336" s="155"/>
      <c r="CT336" s="155"/>
      <c r="CU336" s="155"/>
      <c r="CV336" s="155"/>
      <c r="CW336" s="155"/>
      <c r="CX336" s="155"/>
      <c r="CY336" s="155"/>
      <c r="CZ336" s="155"/>
      <c r="DA336" s="155"/>
      <c r="DB336" s="155"/>
      <c r="DC336" s="155"/>
      <c r="DD336" s="155"/>
      <c r="DE336" s="155"/>
      <c r="DF336" s="155"/>
      <c r="DG336" s="155"/>
      <c r="DH336" s="155"/>
      <c r="DI336" s="155"/>
      <c r="DJ336" s="155"/>
      <c r="DK336" s="155"/>
    </row>
    <row r="337" spans="1:115" s="16" customFormat="1" ht="33" x14ac:dyDescent="0.3">
      <c r="A337" s="687"/>
      <c r="B337" s="657"/>
      <c r="C337" s="171"/>
      <c r="D337" s="21" t="s">
        <v>6</v>
      </c>
      <c r="E337" s="30"/>
      <c r="F337" s="100"/>
      <c r="G337" s="103"/>
      <c r="H337" s="7"/>
      <c r="I337" s="7">
        <f>(H335+H336)/2</f>
        <v>100</v>
      </c>
      <c r="J337" s="384"/>
      <c r="K337" s="21" t="s">
        <v>6</v>
      </c>
      <c r="L337" s="30"/>
      <c r="M337" s="101"/>
      <c r="N337" s="101"/>
      <c r="O337" s="7"/>
      <c r="P337" s="7">
        <f>O335</f>
        <v>100</v>
      </c>
      <c r="Q337" s="7">
        <f>(I337+P337)/2</f>
        <v>100</v>
      </c>
      <c r="R337" s="176" t="s">
        <v>31</v>
      </c>
      <c r="S337" s="669"/>
      <c r="T337" s="438"/>
      <c r="U337" s="180"/>
      <c r="V337" s="155"/>
      <c r="W337" s="155"/>
      <c r="X337" s="155"/>
      <c r="Y337" s="155"/>
      <c r="Z337" s="155"/>
      <c r="AA337" s="155"/>
      <c r="AB337" s="155"/>
      <c r="AC337" s="155"/>
      <c r="AD337" s="155"/>
      <c r="AE337" s="155"/>
      <c r="AF337" s="155"/>
      <c r="AG337" s="155"/>
      <c r="AH337" s="155"/>
      <c r="AI337" s="155"/>
      <c r="AJ337" s="155"/>
      <c r="AK337" s="155"/>
      <c r="AL337" s="155"/>
      <c r="AM337" s="155"/>
      <c r="AN337" s="155"/>
      <c r="AO337" s="155"/>
      <c r="AP337" s="155"/>
      <c r="AQ337" s="155"/>
      <c r="AR337" s="155"/>
      <c r="AS337" s="155"/>
      <c r="AT337" s="155"/>
      <c r="AU337" s="155"/>
      <c r="AV337" s="155"/>
      <c r="AW337" s="155"/>
      <c r="AX337" s="155"/>
      <c r="AY337" s="155"/>
      <c r="AZ337" s="155"/>
      <c r="BA337" s="155"/>
      <c r="BB337" s="155"/>
      <c r="BC337" s="155"/>
      <c r="BD337" s="155"/>
      <c r="BE337" s="155"/>
      <c r="BF337" s="155"/>
      <c r="BG337" s="155"/>
      <c r="BH337" s="155"/>
      <c r="BI337" s="155"/>
      <c r="BJ337" s="155"/>
      <c r="BK337" s="155"/>
      <c r="BL337" s="155"/>
      <c r="BM337" s="155"/>
      <c r="BN337" s="155"/>
      <c r="BO337" s="155"/>
      <c r="BP337" s="155"/>
      <c r="BQ337" s="155"/>
      <c r="BR337" s="155"/>
      <c r="BS337" s="155"/>
      <c r="BT337" s="155"/>
      <c r="BU337" s="155"/>
      <c r="BV337" s="155"/>
      <c r="BW337" s="155"/>
      <c r="BX337" s="155"/>
      <c r="BY337" s="155"/>
      <c r="BZ337" s="155"/>
      <c r="CA337" s="155"/>
      <c r="CB337" s="155"/>
      <c r="CC337" s="155"/>
      <c r="CD337" s="155"/>
      <c r="CE337" s="155"/>
      <c r="CF337" s="155"/>
      <c r="CG337" s="155"/>
      <c r="CH337" s="155"/>
      <c r="CI337" s="155"/>
      <c r="CJ337" s="155"/>
      <c r="CK337" s="155"/>
      <c r="CL337" s="155"/>
      <c r="CM337" s="155"/>
      <c r="CN337" s="155"/>
      <c r="CO337" s="155"/>
      <c r="CP337" s="155"/>
      <c r="CQ337" s="155"/>
      <c r="CR337" s="155"/>
      <c r="CS337" s="155"/>
      <c r="CT337" s="155"/>
      <c r="CU337" s="155"/>
      <c r="CV337" s="155"/>
      <c r="CW337" s="155"/>
      <c r="CX337" s="155"/>
      <c r="CY337" s="155"/>
      <c r="CZ337" s="155"/>
      <c r="DA337" s="155"/>
      <c r="DB337" s="155"/>
      <c r="DC337" s="155"/>
      <c r="DD337" s="155"/>
      <c r="DE337" s="155"/>
      <c r="DF337" s="155"/>
      <c r="DG337" s="155"/>
      <c r="DH337" s="155"/>
      <c r="DI337" s="155"/>
      <c r="DJ337" s="155"/>
      <c r="DK337" s="155"/>
    </row>
    <row r="338" spans="1:115" customFormat="1" ht="66" x14ac:dyDescent="0.3">
      <c r="A338" s="687"/>
      <c r="B338" s="657"/>
      <c r="C338" s="369" t="s">
        <v>42</v>
      </c>
      <c r="D338" s="23" t="s">
        <v>268</v>
      </c>
      <c r="E338" s="371"/>
      <c r="F338" s="74"/>
      <c r="G338" s="24"/>
      <c r="H338" s="372"/>
      <c r="I338" s="372"/>
      <c r="J338" s="296" t="str">
        <f>C338</f>
        <v>IV</v>
      </c>
      <c r="K338" s="23" t="str">
        <f>D338</f>
        <v>Проведение тестирования выполнения нормативов испытаний (тестов) комплекса ГТО</v>
      </c>
      <c r="L338" s="371"/>
      <c r="M338" s="12"/>
      <c r="N338" s="12"/>
      <c r="O338" s="372"/>
      <c r="P338" s="372"/>
      <c r="Q338" s="372"/>
      <c r="R338" s="359"/>
      <c r="S338" s="669"/>
      <c r="T338" s="438"/>
      <c r="U338" s="180"/>
      <c r="V338" s="155"/>
      <c r="W338" s="155"/>
      <c r="X338" s="155"/>
      <c r="Y338" s="155"/>
      <c r="Z338" s="155"/>
      <c r="AA338" s="155"/>
      <c r="AB338" s="155"/>
      <c r="AC338" s="155"/>
      <c r="AD338" s="155"/>
      <c r="AE338" s="155"/>
      <c r="AF338" s="155"/>
      <c r="AG338" s="155"/>
      <c r="AH338" s="155"/>
      <c r="AI338" s="155"/>
      <c r="AJ338" s="155"/>
      <c r="AK338" s="155"/>
      <c r="AL338" s="155"/>
      <c r="AM338" s="155"/>
      <c r="AN338" s="155"/>
      <c r="AO338" s="155"/>
      <c r="AP338" s="155"/>
      <c r="AQ338" s="155"/>
      <c r="AR338" s="155"/>
      <c r="AS338" s="155"/>
      <c r="AT338" s="155"/>
      <c r="AU338" s="155"/>
      <c r="AV338" s="155"/>
      <c r="AW338" s="155"/>
      <c r="AX338" s="155"/>
      <c r="AY338" s="155"/>
      <c r="AZ338" s="155"/>
      <c r="BA338" s="155"/>
      <c r="BB338" s="155"/>
      <c r="BC338" s="155"/>
      <c r="BD338" s="155"/>
      <c r="BE338" s="155"/>
      <c r="BF338" s="155"/>
      <c r="BG338" s="155"/>
      <c r="BH338" s="155"/>
      <c r="BI338" s="155"/>
      <c r="BJ338" s="155"/>
      <c r="BK338" s="155"/>
      <c r="BL338" s="155"/>
      <c r="BM338" s="155"/>
      <c r="BN338" s="155"/>
      <c r="BO338" s="155"/>
      <c r="BP338" s="155"/>
      <c r="BQ338" s="155"/>
      <c r="BR338" s="155"/>
      <c r="BS338" s="155"/>
      <c r="BT338" s="155"/>
      <c r="BU338" s="155"/>
      <c r="BV338" s="155"/>
      <c r="BW338" s="155"/>
      <c r="BX338" s="155"/>
      <c r="BY338" s="155"/>
      <c r="BZ338" s="155"/>
      <c r="CA338" s="155"/>
      <c r="CB338" s="155"/>
      <c r="CC338" s="155"/>
      <c r="CD338" s="155"/>
      <c r="CE338" s="155"/>
      <c r="CF338" s="155"/>
      <c r="CG338" s="155"/>
      <c r="CH338" s="155"/>
      <c r="CI338" s="155"/>
      <c r="CJ338" s="155"/>
      <c r="CK338" s="155"/>
      <c r="CL338" s="155"/>
      <c r="CM338" s="155"/>
      <c r="CN338" s="155"/>
      <c r="CO338" s="155"/>
      <c r="CP338" s="155"/>
      <c r="CQ338" s="155"/>
      <c r="CR338" s="155"/>
      <c r="CS338" s="155"/>
      <c r="CT338" s="155"/>
      <c r="CU338" s="155"/>
      <c r="CV338" s="155"/>
      <c r="CW338" s="155"/>
      <c r="CX338" s="155"/>
      <c r="CY338" s="155"/>
      <c r="CZ338" s="155"/>
      <c r="DA338" s="155"/>
      <c r="DB338" s="155"/>
      <c r="DC338" s="155"/>
      <c r="DD338" s="155"/>
      <c r="DE338" s="155"/>
      <c r="DF338" s="155"/>
      <c r="DG338" s="155"/>
      <c r="DH338" s="155"/>
      <c r="DI338" s="155"/>
      <c r="DJ338" s="155"/>
      <c r="DK338" s="155"/>
    </row>
    <row r="339" spans="1:115" customFormat="1" ht="37.5" customHeight="1" x14ac:dyDescent="0.3">
      <c r="A339" s="687"/>
      <c r="B339" s="657"/>
      <c r="C339" s="371" t="s">
        <v>43</v>
      </c>
      <c r="D339" s="377" t="s">
        <v>293</v>
      </c>
      <c r="E339" s="371" t="s">
        <v>38</v>
      </c>
      <c r="F339" s="74">
        <v>1700</v>
      </c>
      <c r="G339" s="96">
        <v>1737</v>
      </c>
      <c r="H339" s="24">
        <f>IF(G339/F339*100&gt;100,100,G339/F339*100)</f>
        <v>100</v>
      </c>
      <c r="I339" s="372"/>
      <c r="J339" s="418" t="str">
        <f>C339</f>
        <v>4.1.</v>
      </c>
      <c r="K339" s="377" t="s">
        <v>40</v>
      </c>
      <c r="L339" s="371" t="s">
        <v>36</v>
      </c>
      <c r="M339" s="96">
        <v>150</v>
      </c>
      <c r="N339" s="96">
        <v>150</v>
      </c>
      <c r="O339" s="24">
        <f t="shared" si="50"/>
        <v>100</v>
      </c>
      <c r="P339" s="306"/>
      <c r="Q339" s="372"/>
      <c r="R339" s="359"/>
      <c r="S339" s="669"/>
      <c r="T339" s="438"/>
      <c r="U339" s="180"/>
      <c r="V339" s="155"/>
      <c r="W339" s="155"/>
      <c r="X339" s="155"/>
      <c r="Y339" s="155"/>
      <c r="Z339" s="155"/>
      <c r="AA339" s="155"/>
      <c r="AB339" s="155"/>
      <c r="AC339" s="155"/>
      <c r="AD339" s="155"/>
      <c r="AE339" s="155"/>
      <c r="AF339" s="155"/>
      <c r="AG339" s="155"/>
      <c r="AH339" s="155"/>
      <c r="AI339" s="155"/>
      <c r="AJ339" s="155"/>
      <c r="AK339" s="155"/>
      <c r="AL339" s="155"/>
      <c r="AM339" s="155"/>
      <c r="AN339" s="155"/>
      <c r="AO339" s="155"/>
      <c r="AP339" s="155"/>
      <c r="AQ339" s="155"/>
      <c r="AR339" s="155"/>
      <c r="AS339" s="155"/>
      <c r="AT339" s="155"/>
      <c r="AU339" s="155"/>
      <c r="AV339" s="155"/>
      <c r="AW339" s="155"/>
      <c r="AX339" s="155"/>
      <c r="AY339" s="155"/>
      <c r="AZ339" s="155"/>
      <c r="BA339" s="155"/>
      <c r="BB339" s="155"/>
      <c r="BC339" s="155"/>
      <c r="BD339" s="155"/>
      <c r="BE339" s="155"/>
      <c r="BF339" s="155"/>
      <c r="BG339" s="155"/>
      <c r="BH339" s="155"/>
      <c r="BI339" s="155"/>
      <c r="BJ339" s="155"/>
      <c r="BK339" s="155"/>
      <c r="BL339" s="155"/>
      <c r="BM339" s="155"/>
      <c r="BN339" s="155"/>
      <c r="BO339" s="155"/>
      <c r="BP339" s="155"/>
      <c r="BQ339" s="155"/>
      <c r="BR339" s="155"/>
      <c r="BS339" s="155"/>
      <c r="BT339" s="155"/>
      <c r="BU339" s="155"/>
      <c r="BV339" s="155"/>
      <c r="BW339" s="155"/>
      <c r="BX339" s="155"/>
      <c r="BY339" s="155"/>
      <c r="BZ339" s="155"/>
      <c r="CA339" s="155"/>
      <c r="CB339" s="155"/>
      <c r="CC339" s="155"/>
      <c r="CD339" s="155"/>
      <c r="CE339" s="155"/>
      <c r="CF339" s="155"/>
      <c r="CG339" s="155"/>
      <c r="CH339" s="155"/>
      <c r="CI339" s="155"/>
      <c r="CJ339" s="155"/>
      <c r="CK339" s="155"/>
      <c r="CL339" s="155"/>
      <c r="CM339" s="155"/>
      <c r="CN339" s="155"/>
      <c r="CO339" s="155"/>
      <c r="CP339" s="155"/>
      <c r="CQ339" s="155"/>
      <c r="CR339" s="155"/>
      <c r="CS339" s="155"/>
      <c r="CT339" s="155"/>
      <c r="CU339" s="155"/>
      <c r="CV339" s="155"/>
      <c r="CW339" s="155"/>
      <c r="CX339" s="155"/>
      <c r="CY339" s="155"/>
      <c r="CZ339" s="155"/>
      <c r="DA339" s="155"/>
      <c r="DB339" s="155"/>
      <c r="DC339" s="155"/>
      <c r="DD339" s="155"/>
      <c r="DE339" s="155"/>
      <c r="DF339" s="155"/>
      <c r="DG339" s="155"/>
      <c r="DH339" s="155"/>
      <c r="DI339" s="155"/>
      <c r="DJ339" s="155"/>
      <c r="DK339" s="155"/>
    </row>
    <row r="340" spans="1:115" s="16" customFormat="1" ht="33" x14ac:dyDescent="0.3">
      <c r="A340" s="687"/>
      <c r="B340" s="657"/>
      <c r="C340" s="171"/>
      <c r="D340" s="21" t="s">
        <v>6</v>
      </c>
      <c r="E340" s="30"/>
      <c r="F340" s="100"/>
      <c r="G340" s="103"/>
      <c r="H340" s="7"/>
      <c r="I340" s="7">
        <f>H339</f>
        <v>100</v>
      </c>
      <c r="J340" s="384"/>
      <c r="K340" s="21" t="s">
        <v>6</v>
      </c>
      <c r="L340" s="30"/>
      <c r="M340" s="101"/>
      <c r="N340" s="101"/>
      <c r="O340" s="7"/>
      <c r="P340" s="7">
        <f>O339</f>
        <v>100</v>
      </c>
      <c r="Q340" s="7">
        <f>(I340+P340)/2</f>
        <v>100</v>
      </c>
      <c r="R340" s="176" t="s">
        <v>31</v>
      </c>
      <c r="S340" s="669"/>
      <c r="T340" s="438"/>
      <c r="U340" s="180"/>
      <c r="V340" s="155"/>
      <c r="W340" s="155"/>
      <c r="X340" s="155"/>
      <c r="Y340" s="155"/>
      <c r="Z340" s="155"/>
      <c r="AA340" s="155"/>
      <c r="AB340" s="155"/>
      <c r="AC340" s="155"/>
      <c r="AD340" s="155"/>
      <c r="AE340" s="155"/>
      <c r="AF340" s="155"/>
      <c r="AG340" s="155"/>
      <c r="AH340" s="155"/>
      <c r="AI340" s="155"/>
      <c r="AJ340" s="155"/>
      <c r="AK340" s="155"/>
      <c r="AL340" s="155"/>
      <c r="AM340" s="155"/>
      <c r="AN340" s="155"/>
      <c r="AO340" s="155"/>
      <c r="AP340" s="155"/>
      <c r="AQ340" s="155"/>
      <c r="AR340" s="155"/>
      <c r="AS340" s="155"/>
      <c r="AT340" s="155"/>
      <c r="AU340" s="155"/>
      <c r="AV340" s="155"/>
      <c r="AW340" s="155"/>
      <c r="AX340" s="155"/>
      <c r="AY340" s="155"/>
      <c r="AZ340" s="155"/>
      <c r="BA340" s="155"/>
      <c r="BB340" s="155"/>
      <c r="BC340" s="155"/>
      <c r="BD340" s="155"/>
      <c r="BE340" s="155"/>
      <c r="BF340" s="155"/>
      <c r="BG340" s="155"/>
      <c r="BH340" s="155"/>
      <c r="BI340" s="155"/>
      <c r="BJ340" s="155"/>
      <c r="BK340" s="155"/>
      <c r="BL340" s="155"/>
      <c r="BM340" s="155"/>
      <c r="BN340" s="155"/>
      <c r="BO340" s="155"/>
      <c r="BP340" s="155"/>
      <c r="BQ340" s="155"/>
      <c r="BR340" s="155"/>
      <c r="BS340" s="155"/>
      <c r="BT340" s="155"/>
      <c r="BU340" s="155"/>
      <c r="BV340" s="155"/>
      <c r="BW340" s="155"/>
      <c r="BX340" s="155"/>
      <c r="BY340" s="155"/>
      <c r="BZ340" s="155"/>
      <c r="CA340" s="155"/>
      <c r="CB340" s="155"/>
      <c r="CC340" s="155"/>
      <c r="CD340" s="155"/>
      <c r="CE340" s="155"/>
      <c r="CF340" s="155"/>
      <c r="CG340" s="155"/>
      <c r="CH340" s="155"/>
      <c r="CI340" s="155"/>
      <c r="CJ340" s="155"/>
      <c r="CK340" s="155"/>
      <c r="CL340" s="155"/>
      <c r="CM340" s="155"/>
      <c r="CN340" s="155"/>
      <c r="CO340" s="155"/>
      <c r="CP340" s="155"/>
      <c r="CQ340" s="155"/>
      <c r="CR340" s="155"/>
      <c r="CS340" s="155"/>
      <c r="CT340" s="155"/>
      <c r="CU340" s="155"/>
      <c r="CV340" s="155"/>
      <c r="CW340" s="155"/>
      <c r="CX340" s="155"/>
      <c r="CY340" s="155"/>
      <c r="CZ340" s="155"/>
      <c r="DA340" s="155"/>
      <c r="DB340" s="155"/>
      <c r="DC340" s="155"/>
      <c r="DD340" s="155"/>
      <c r="DE340" s="155"/>
      <c r="DF340" s="155"/>
      <c r="DG340" s="155"/>
      <c r="DH340" s="155"/>
      <c r="DI340" s="155"/>
      <c r="DJ340" s="155"/>
      <c r="DK340" s="155"/>
    </row>
    <row r="341" spans="1:115" customFormat="1" ht="109.5" customHeight="1" x14ac:dyDescent="0.3">
      <c r="A341" s="687"/>
      <c r="B341" s="657"/>
      <c r="C341" s="369" t="s">
        <v>164</v>
      </c>
      <c r="D341" s="23" t="s">
        <v>310</v>
      </c>
      <c r="E341" s="371"/>
      <c r="F341" s="74"/>
      <c r="G341" s="24"/>
      <c r="H341" s="372"/>
      <c r="I341" s="372"/>
      <c r="J341" s="296" t="str">
        <f>C341</f>
        <v>V</v>
      </c>
      <c r="K341" s="23" t="str">
        <f>D341</f>
        <v>Организация и проведение физкультурных и спортивных мероприятий в рамках Всероссийского физкультурно-спортивного комплекса "Готов к труду и обороне" (ГТО)</v>
      </c>
      <c r="L341" s="369"/>
      <c r="M341" s="98"/>
      <c r="N341" s="98"/>
      <c r="O341" s="372"/>
      <c r="P341" s="372"/>
      <c r="Q341" s="372"/>
      <c r="R341" s="359"/>
      <c r="S341" s="669"/>
      <c r="T341" s="438"/>
      <c r="U341" s="180"/>
      <c r="V341" s="155"/>
      <c r="W341" s="155"/>
      <c r="X341" s="155"/>
      <c r="Y341" s="155"/>
      <c r="Z341" s="155"/>
      <c r="AA341" s="155"/>
      <c r="AB341" s="155"/>
      <c r="AC341" s="155"/>
      <c r="AD341" s="155"/>
      <c r="AE341" s="155"/>
      <c r="AF341" s="155"/>
      <c r="AG341" s="155"/>
      <c r="AH341" s="155"/>
      <c r="AI341" s="155"/>
      <c r="AJ341" s="155"/>
      <c r="AK341" s="155"/>
      <c r="AL341" s="155"/>
      <c r="AM341" s="155"/>
      <c r="AN341" s="155"/>
      <c r="AO341" s="155"/>
      <c r="AP341" s="155"/>
      <c r="AQ341" s="155"/>
      <c r="AR341" s="155"/>
      <c r="AS341" s="155"/>
      <c r="AT341" s="155"/>
      <c r="AU341" s="155"/>
      <c r="AV341" s="155"/>
      <c r="AW341" s="155"/>
      <c r="AX341" s="155"/>
      <c r="AY341" s="155"/>
      <c r="AZ341" s="155"/>
      <c r="BA341" s="155"/>
      <c r="BB341" s="155"/>
      <c r="BC341" s="155"/>
      <c r="BD341" s="155"/>
      <c r="BE341" s="155"/>
      <c r="BF341" s="155"/>
      <c r="BG341" s="155"/>
      <c r="BH341" s="155"/>
      <c r="BI341" s="155"/>
      <c r="BJ341" s="155"/>
      <c r="BK341" s="155"/>
      <c r="BL341" s="155"/>
      <c r="BM341" s="155"/>
      <c r="BN341" s="155"/>
      <c r="BO341" s="155"/>
      <c r="BP341" s="155"/>
      <c r="BQ341" s="155"/>
      <c r="BR341" s="155"/>
      <c r="BS341" s="155"/>
      <c r="BT341" s="155"/>
      <c r="BU341" s="155"/>
      <c r="BV341" s="155"/>
      <c r="BW341" s="155"/>
      <c r="BX341" s="155"/>
      <c r="BY341" s="155"/>
      <c r="BZ341" s="155"/>
      <c r="CA341" s="155"/>
      <c r="CB341" s="155"/>
      <c r="CC341" s="155"/>
      <c r="CD341" s="155"/>
      <c r="CE341" s="155"/>
      <c r="CF341" s="155"/>
      <c r="CG341" s="155"/>
      <c r="CH341" s="155"/>
      <c r="CI341" s="155"/>
      <c r="CJ341" s="155"/>
      <c r="CK341" s="155"/>
      <c r="CL341" s="155"/>
      <c r="CM341" s="155"/>
      <c r="CN341" s="155"/>
      <c r="CO341" s="155"/>
      <c r="CP341" s="155"/>
      <c r="CQ341" s="155"/>
      <c r="CR341" s="155"/>
      <c r="CS341" s="155"/>
      <c r="CT341" s="155"/>
      <c r="CU341" s="155"/>
      <c r="CV341" s="155"/>
      <c r="CW341" s="155"/>
      <c r="CX341" s="155"/>
      <c r="CY341" s="155"/>
      <c r="CZ341" s="155"/>
      <c r="DA341" s="155"/>
      <c r="DB341" s="155"/>
      <c r="DC341" s="155"/>
      <c r="DD341" s="155"/>
      <c r="DE341" s="155"/>
      <c r="DF341" s="155"/>
      <c r="DG341" s="155"/>
      <c r="DH341" s="155"/>
      <c r="DI341" s="155"/>
      <c r="DJ341" s="155"/>
      <c r="DK341" s="155"/>
    </row>
    <row r="342" spans="1:115" customFormat="1" ht="34.5" customHeight="1" x14ac:dyDescent="0.3">
      <c r="A342" s="687"/>
      <c r="B342" s="657"/>
      <c r="C342" s="371" t="s">
        <v>165</v>
      </c>
      <c r="D342" s="377" t="s">
        <v>552</v>
      </c>
      <c r="E342" s="371" t="s">
        <v>38</v>
      </c>
      <c r="F342" s="74">
        <v>466</v>
      </c>
      <c r="G342" s="74">
        <v>466</v>
      </c>
      <c r="H342" s="24">
        <f>IF(G342/F342*100&gt;100,100,G342/F342*100)</f>
        <v>100</v>
      </c>
      <c r="I342" s="372"/>
      <c r="J342" s="418" t="str">
        <f>C342</f>
        <v>5.1.</v>
      </c>
      <c r="K342" s="377" t="s">
        <v>40</v>
      </c>
      <c r="L342" s="371" t="s">
        <v>36</v>
      </c>
      <c r="M342" s="96">
        <v>8</v>
      </c>
      <c r="N342" s="96">
        <v>8</v>
      </c>
      <c r="O342" s="24">
        <f t="shared" si="50"/>
        <v>100</v>
      </c>
      <c r="P342" s="306"/>
      <c r="Q342" s="372"/>
      <c r="R342" s="359"/>
      <c r="S342" s="669"/>
      <c r="T342" s="438"/>
      <c r="U342" s="180"/>
      <c r="V342" s="155"/>
      <c r="W342" s="155"/>
      <c r="X342" s="155"/>
      <c r="Y342" s="155"/>
      <c r="Z342" s="155"/>
      <c r="AA342" s="155"/>
      <c r="AB342" s="155"/>
      <c r="AC342" s="155"/>
      <c r="AD342" s="155"/>
      <c r="AE342" s="155"/>
      <c r="AF342" s="155"/>
      <c r="AG342" s="155"/>
      <c r="AH342" s="155"/>
      <c r="AI342" s="155"/>
      <c r="AJ342" s="155"/>
      <c r="AK342" s="155"/>
      <c r="AL342" s="155"/>
      <c r="AM342" s="155"/>
      <c r="AN342" s="155"/>
      <c r="AO342" s="155"/>
      <c r="AP342" s="155"/>
      <c r="AQ342" s="155"/>
      <c r="AR342" s="155"/>
      <c r="AS342" s="155"/>
      <c r="AT342" s="155"/>
      <c r="AU342" s="155"/>
      <c r="AV342" s="155"/>
      <c r="AW342" s="155"/>
      <c r="AX342" s="155"/>
      <c r="AY342" s="155"/>
      <c r="AZ342" s="155"/>
      <c r="BA342" s="155"/>
      <c r="BB342" s="155"/>
      <c r="BC342" s="155"/>
      <c r="BD342" s="155"/>
      <c r="BE342" s="155"/>
      <c r="BF342" s="155"/>
      <c r="BG342" s="155"/>
      <c r="BH342" s="155"/>
      <c r="BI342" s="155"/>
      <c r="BJ342" s="155"/>
      <c r="BK342" s="155"/>
      <c r="BL342" s="155"/>
      <c r="BM342" s="155"/>
      <c r="BN342" s="155"/>
      <c r="BO342" s="155"/>
      <c r="BP342" s="155"/>
      <c r="BQ342" s="155"/>
      <c r="BR342" s="155"/>
      <c r="BS342" s="155"/>
      <c r="BT342" s="155"/>
      <c r="BU342" s="155"/>
      <c r="BV342" s="155"/>
      <c r="BW342" s="155"/>
      <c r="BX342" s="155"/>
      <c r="BY342" s="155"/>
      <c r="BZ342" s="155"/>
      <c r="CA342" s="155"/>
      <c r="CB342" s="155"/>
      <c r="CC342" s="155"/>
      <c r="CD342" s="155"/>
      <c r="CE342" s="155"/>
      <c r="CF342" s="155"/>
      <c r="CG342" s="155"/>
      <c r="CH342" s="155"/>
      <c r="CI342" s="155"/>
      <c r="CJ342" s="155"/>
      <c r="CK342" s="155"/>
      <c r="CL342" s="155"/>
      <c r="CM342" s="155"/>
      <c r="CN342" s="155"/>
      <c r="CO342" s="155"/>
      <c r="CP342" s="155"/>
      <c r="CQ342" s="155"/>
      <c r="CR342" s="155"/>
      <c r="CS342" s="155"/>
      <c r="CT342" s="155"/>
      <c r="CU342" s="155"/>
      <c r="CV342" s="155"/>
      <c r="CW342" s="155"/>
      <c r="CX342" s="155"/>
      <c r="CY342" s="155"/>
      <c r="CZ342" s="155"/>
      <c r="DA342" s="155"/>
      <c r="DB342" s="155"/>
      <c r="DC342" s="155"/>
      <c r="DD342" s="155"/>
      <c r="DE342" s="155"/>
      <c r="DF342" s="155"/>
      <c r="DG342" s="155"/>
      <c r="DH342" s="155"/>
      <c r="DI342" s="155"/>
      <c r="DJ342" s="155"/>
      <c r="DK342" s="155"/>
    </row>
    <row r="343" spans="1:115" customFormat="1" x14ac:dyDescent="0.3">
      <c r="A343" s="687"/>
      <c r="B343" s="657"/>
      <c r="C343" s="371" t="s">
        <v>166</v>
      </c>
      <c r="D343" s="361" t="s">
        <v>577</v>
      </c>
      <c r="E343" s="371" t="s">
        <v>41</v>
      </c>
      <c r="F343" s="74">
        <v>5</v>
      </c>
      <c r="G343" s="96">
        <v>0</v>
      </c>
      <c r="H343" s="24">
        <v>100</v>
      </c>
      <c r="I343" s="372"/>
      <c r="J343" s="418"/>
      <c r="K343" s="377"/>
      <c r="L343" s="371"/>
      <c r="M343" s="96"/>
      <c r="N343" s="96"/>
      <c r="O343" s="24"/>
      <c r="P343" s="306"/>
      <c r="Q343" s="372"/>
      <c r="R343" s="359"/>
      <c r="S343" s="669"/>
      <c r="T343" s="438"/>
      <c r="U343" s="180"/>
      <c r="V343" s="155"/>
      <c r="W343" s="155"/>
      <c r="X343" s="155"/>
      <c r="Y343" s="155"/>
      <c r="Z343" s="155"/>
      <c r="AA343" s="155"/>
      <c r="AB343" s="155"/>
      <c r="AC343" s="155"/>
      <c r="AD343" s="155"/>
      <c r="AE343" s="155"/>
      <c r="AF343" s="155"/>
      <c r="AG343" s="155"/>
      <c r="AH343" s="155"/>
      <c r="AI343" s="155"/>
      <c r="AJ343" s="155"/>
      <c r="AK343" s="155"/>
      <c r="AL343" s="155"/>
      <c r="AM343" s="155"/>
      <c r="AN343" s="155"/>
      <c r="AO343" s="155"/>
      <c r="AP343" s="155"/>
      <c r="AQ343" s="155"/>
      <c r="AR343" s="155"/>
      <c r="AS343" s="155"/>
      <c r="AT343" s="155"/>
      <c r="AU343" s="155"/>
      <c r="AV343" s="155"/>
      <c r="AW343" s="155"/>
      <c r="AX343" s="155"/>
      <c r="AY343" s="155"/>
      <c r="AZ343" s="155"/>
      <c r="BA343" s="155"/>
      <c r="BB343" s="155"/>
      <c r="BC343" s="155"/>
      <c r="BD343" s="155"/>
      <c r="BE343" s="155"/>
      <c r="BF343" s="155"/>
      <c r="BG343" s="155"/>
      <c r="BH343" s="155"/>
      <c r="BI343" s="155"/>
      <c r="BJ343" s="155"/>
      <c r="BK343" s="155"/>
      <c r="BL343" s="155"/>
      <c r="BM343" s="155"/>
      <c r="BN343" s="155"/>
      <c r="BO343" s="155"/>
      <c r="BP343" s="155"/>
      <c r="BQ343" s="155"/>
      <c r="BR343" s="155"/>
      <c r="BS343" s="155"/>
      <c r="BT343" s="155"/>
      <c r="BU343" s="155"/>
      <c r="BV343" s="155"/>
      <c r="BW343" s="155"/>
      <c r="BX343" s="155"/>
      <c r="BY343" s="155"/>
      <c r="BZ343" s="155"/>
      <c r="CA343" s="155"/>
      <c r="CB343" s="155"/>
      <c r="CC343" s="155"/>
      <c r="CD343" s="155"/>
      <c r="CE343" s="155"/>
      <c r="CF343" s="155"/>
      <c r="CG343" s="155"/>
      <c r="CH343" s="155"/>
      <c r="CI343" s="155"/>
      <c r="CJ343" s="155"/>
      <c r="CK343" s="155"/>
      <c r="CL343" s="155"/>
      <c r="CM343" s="155"/>
      <c r="CN343" s="155"/>
      <c r="CO343" s="155"/>
      <c r="CP343" s="155"/>
      <c r="CQ343" s="155"/>
      <c r="CR343" s="155"/>
      <c r="CS343" s="155"/>
      <c r="CT343" s="155"/>
      <c r="CU343" s="155"/>
      <c r="CV343" s="155"/>
      <c r="CW343" s="155"/>
      <c r="CX343" s="155"/>
      <c r="CY343" s="155"/>
      <c r="CZ343" s="155"/>
      <c r="DA343" s="155"/>
      <c r="DB343" s="155"/>
      <c r="DC343" s="155"/>
      <c r="DD343" s="155"/>
      <c r="DE343" s="155"/>
      <c r="DF343" s="155"/>
      <c r="DG343" s="155"/>
      <c r="DH343" s="155"/>
      <c r="DI343" s="155"/>
      <c r="DJ343" s="155"/>
      <c r="DK343" s="155"/>
    </row>
    <row r="344" spans="1:115" s="16" customFormat="1" ht="33" x14ac:dyDescent="0.3">
      <c r="A344" s="688"/>
      <c r="B344" s="658"/>
      <c r="C344" s="171"/>
      <c r="D344" s="21" t="s">
        <v>6</v>
      </c>
      <c r="E344" s="30"/>
      <c r="F344" s="100"/>
      <c r="G344" s="103"/>
      <c r="H344" s="7"/>
      <c r="I344" s="7">
        <f>(H342+H343)/2</f>
        <v>100</v>
      </c>
      <c r="J344" s="384"/>
      <c r="K344" s="21" t="s">
        <v>6</v>
      </c>
      <c r="L344" s="30"/>
      <c r="M344" s="101"/>
      <c r="N344" s="101"/>
      <c r="O344" s="7"/>
      <c r="P344" s="7">
        <f>O342</f>
        <v>100</v>
      </c>
      <c r="Q344" s="7">
        <f>(I344+P344)/2</f>
        <v>100</v>
      </c>
      <c r="R344" s="176" t="s">
        <v>31</v>
      </c>
      <c r="S344" s="689"/>
      <c r="T344" s="438"/>
      <c r="U344" s="180"/>
      <c r="V344" s="155"/>
      <c r="W344" s="155"/>
      <c r="X344" s="155"/>
      <c r="Y344" s="155"/>
      <c r="Z344" s="155"/>
      <c r="AA344" s="155"/>
      <c r="AB344" s="155"/>
      <c r="AC344" s="155"/>
      <c r="AD344" s="155"/>
      <c r="AE344" s="155"/>
      <c r="AF344" s="155"/>
      <c r="AG344" s="155"/>
      <c r="AH344" s="155"/>
      <c r="AI344" s="155"/>
      <c r="AJ344" s="155"/>
      <c r="AK344" s="155"/>
      <c r="AL344" s="155"/>
      <c r="AM344" s="155"/>
      <c r="AN344" s="155"/>
      <c r="AO344" s="155"/>
      <c r="AP344" s="155"/>
      <c r="AQ344" s="155"/>
      <c r="AR344" s="155"/>
      <c r="AS344" s="155"/>
      <c r="AT344" s="155"/>
      <c r="AU344" s="155"/>
      <c r="AV344" s="155"/>
      <c r="AW344" s="155"/>
      <c r="AX344" s="155"/>
      <c r="AY344" s="155"/>
      <c r="AZ344" s="155"/>
    </row>
    <row r="345" spans="1:115" customFormat="1" ht="77.25" customHeight="1" x14ac:dyDescent="0.3">
      <c r="A345" s="653" t="s">
        <v>82</v>
      </c>
      <c r="B345" s="656" t="s">
        <v>486</v>
      </c>
      <c r="C345" s="354" t="s">
        <v>12</v>
      </c>
      <c r="D345" s="22" t="s">
        <v>511</v>
      </c>
      <c r="E345" s="354"/>
      <c r="F345" s="203"/>
      <c r="G345" s="37"/>
      <c r="H345" s="353"/>
      <c r="I345" s="353"/>
      <c r="J345" s="58" t="str">
        <f>C345</f>
        <v>I</v>
      </c>
      <c r="K345" s="22" t="str">
        <f>D345</f>
        <v>Организация физкультурно-спортивной работы по месту жительства граждан</v>
      </c>
      <c r="L345" s="357"/>
      <c r="M345" s="354"/>
      <c r="N345" s="354"/>
      <c r="O345" s="353"/>
      <c r="P345" s="353"/>
      <c r="Q345" s="353"/>
      <c r="R345" s="359"/>
      <c r="S345" s="690" t="s">
        <v>280</v>
      </c>
      <c r="T345" s="438"/>
      <c r="U345" s="180"/>
      <c r="V345" s="155"/>
      <c r="W345" s="155"/>
      <c r="X345" s="155"/>
      <c r="Y345" s="155"/>
      <c r="Z345" s="155"/>
      <c r="AA345" s="155"/>
      <c r="AB345" s="155"/>
      <c r="AC345" s="155"/>
      <c r="AD345" s="155"/>
      <c r="AE345" s="155"/>
      <c r="AF345" s="155"/>
      <c r="AG345" s="155"/>
      <c r="AH345" s="155"/>
      <c r="AI345" s="155"/>
      <c r="AJ345" s="155"/>
      <c r="AK345" s="155"/>
      <c r="AL345" s="155"/>
      <c r="AM345" s="155"/>
      <c r="AN345" s="155"/>
      <c r="AO345" s="155"/>
      <c r="AP345" s="155"/>
      <c r="AQ345" s="155"/>
      <c r="AR345" s="155"/>
      <c r="AS345" s="155"/>
      <c r="AT345" s="155"/>
      <c r="AU345" s="155"/>
      <c r="AV345" s="155"/>
      <c r="AW345" s="155"/>
      <c r="AX345" s="155"/>
      <c r="AY345" s="155"/>
      <c r="AZ345" s="155"/>
    </row>
    <row r="346" spans="1:115" customFormat="1" ht="18.75" customHeight="1" x14ac:dyDescent="0.3">
      <c r="A346" s="654"/>
      <c r="B346" s="657"/>
      <c r="C346" s="17" t="s">
        <v>7</v>
      </c>
      <c r="D346" s="361" t="s">
        <v>51</v>
      </c>
      <c r="E346" s="371" t="s">
        <v>41</v>
      </c>
      <c r="F346" s="179">
        <v>3</v>
      </c>
      <c r="G346" s="179">
        <v>0</v>
      </c>
      <c r="H346" s="358">
        <v>100</v>
      </c>
      <c r="I346" s="353"/>
      <c r="J346" s="379" t="s">
        <v>7</v>
      </c>
      <c r="K346" s="361" t="s">
        <v>219</v>
      </c>
      <c r="L346" s="357" t="s">
        <v>36</v>
      </c>
      <c r="M346" s="286">
        <v>376</v>
      </c>
      <c r="N346" s="286">
        <v>363</v>
      </c>
      <c r="O346" s="358">
        <f t="shared" ref="O346:O399" si="53">IF(N346/M346*100&gt;110,110,N346/M346*100)</f>
        <v>96.542553191489361</v>
      </c>
      <c r="P346" s="353"/>
      <c r="Q346" s="353"/>
      <c r="R346" s="359"/>
      <c r="S346" s="691"/>
      <c r="T346" s="438"/>
      <c r="U346" s="180"/>
      <c r="V346" s="155"/>
      <c r="W346" s="155"/>
      <c r="X346" s="155"/>
      <c r="Y346" s="155"/>
      <c r="Z346" s="155"/>
      <c r="AA346" s="155"/>
      <c r="AB346" s="155"/>
      <c r="AC346" s="155"/>
      <c r="AD346" s="155"/>
      <c r="AE346" s="155"/>
      <c r="AF346" s="155"/>
      <c r="AG346" s="155"/>
      <c r="AH346" s="155"/>
      <c r="AI346" s="155"/>
      <c r="AJ346" s="155"/>
      <c r="AK346" s="155"/>
      <c r="AL346" s="155"/>
      <c r="AM346" s="155"/>
      <c r="AN346" s="155"/>
      <c r="AO346" s="155"/>
      <c r="AP346" s="155"/>
      <c r="AQ346" s="155"/>
      <c r="AR346" s="155"/>
      <c r="AS346" s="155"/>
      <c r="AT346" s="155"/>
      <c r="AU346" s="155"/>
      <c r="AV346" s="155"/>
      <c r="AW346" s="155"/>
      <c r="AX346" s="155"/>
      <c r="AY346" s="155"/>
      <c r="AZ346" s="155"/>
    </row>
    <row r="347" spans="1:115" s="16" customFormat="1" ht="33" x14ac:dyDescent="0.3">
      <c r="A347" s="654"/>
      <c r="B347" s="657"/>
      <c r="C347" s="171"/>
      <c r="D347" s="21" t="s">
        <v>6</v>
      </c>
      <c r="E347" s="30"/>
      <c r="F347" s="100"/>
      <c r="G347" s="103"/>
      <c r="H347" s="7"/>
      <c r="I347" s="7">
        <f>H346</f>
        <v>100</v>
      </c>
      <c r="J347" s="384"/>
      <c r="K347" s="21" t="s">
        <v>6</v>
      </c>
      <c r="L347" s="30"/>
      <c r="M347" s="101"/>
      <c r="N347" s="101"/>
      <c r="O347" s="7"/>
      <c r="P347" s="7">
        <f>O346</f>
        <v>96.542553191489361</v>
      </c>
      <c r="Q347" s="7">
        <f>(I347+P347)/2</f>
        <v>98.271276595744681</v>
      </c>
      <c r="R347" s="176" t="s">
        <v>593</v>
      </c>
      <c r="S347" s="691"/>
      <c r="T347" s="438"/>
      <c r="U347" s="180"/>
      <c r="V347" s="155"/>
      <c r="W347" s="155"/>
      <c r="X347" s="155"/>
      <c r="Y347" s="155"/>
      <c r="Z347" s="155"/>
      <c r="AA347" s="155"/>
      <c r="AB347" s="155"/>
      <c r="AC347" s="155"/>
      <c r="AD347" s="155"/>
      <c r="AE347" s="155"/>
      <c r="AF347" s="155"/>
      <c r="AG347" s="155"/>
      <c r="AH347" s="155"/>
      <c r="AI347" s="155"/>
      <c r="AJ347" s="155"/>
      <c r="AK347" s="155"/>
      <c r="AL347" s="155"/>
      <c r="AM347" s="155"/>
      <c r="AN347" s="155"/>
      <c r="AO347" s="155"/>
      <c r="AP347" s="155"/>
      <c r="AQ347" s="155"/>
      <c r="AR347" s="155"/>
      <c r="AS347" s="155"/>
      <c r="AT347" s="155"/>
      <c r="AU347" s="155"/>
      <c r="AV347" s="155"/>
      <c r="AW347" s="155"/>
      <c r="AX347" s="155"/>
      <c r="AY347" s="155"/>
      <c r="AZ347" s="155"/>
    </row>
    <row r="348" spans="1:115" customFormat="1" ht="33" x14ac:dyDescent="0.3">
      <c r="A348" s="654"/>
      <c r="B348" s="657"/>
      <c r="C348" s="354" t="s">
        <v>13</v>
      </c>
      <c r="D348" s="22" t="s">
        <v>214</v>
      </c>
      <c r="E348" s="357"/>
      <c r="F348" s="179"/>
      <c r="G348" s="258"/>
      <c r="H348" s="353"/>
      <c r="I348" s="353"/>
      <c r="J348" s="58" t="str">
        <f>C348</f>
        <v>II</v>
      </c>
      <c r="K348" s="22" t="str">
        <f>D348</f>
        <v>Обеспечение доступа к объектам спорта</v>
      </c>
      <c r="L348" s="357"/>
      <c r="M348" s="286"/>
      <c r="N348" s="286"/>
      <c r="O348" s="353"/>
      <c r="P348" s="353"/>
      <c r="Q348" s="353"/>
      <c r="R348" s="359"/>
      <c r="S348" s="691"/>
      <c r="T348" s="438"/>
      <c r="U348" s="180"/>
      <c r="V348" s="155"/>
      <c r="W348" s="155"/>
      <c r="X348" s="155"/>
      <c r="Y348" s="155"/>
      <c r="Z348" s="155"/>
      <c r="AA348" s="155"/>
      <c r="AB348" s="155"/>
      <c r="AC348" s="155"/>
      <c r="AD348" s="155"/>
      <c r="AE348" s="155"/>
      <c r="AF348" s="155"/>
      <c r="AG348" s="155"/>
      <c r="AH348" s="155"/>
      <c r="AI348" s="155"/>
      <c r="AJ348" s="155"/>
      <c r="AK348" s="155"/>
      <c r="AL348" s="155"/>
      <c r="AM348" s="155"/>
      <c r="AN348" s="155"/>
      <c r="AO348" s="155"/>
      <c r="AP348" s="155"/>
      <c r="AQ348" s="155"/>
      <c r="AR348" s="155"/>
      <c r="AS348" s="155"/>
      <c r="AT348" s="155"/>
      <c r="AU348" s="155"/>
      <c r="AV348" s="155"/>
      <c r="AW348" s="155"/>
      <c r="AX348" s="155"/>
      <c r="AY348" s="155"/>
      <c r="AZ348" s="155"/>
    </row>
    <row r="349" spans="1:115" customFormat="1" ht="18.75" customHeight="1" x14ac:dyDescent="0.3">
      <c r="A349" s="654"/>
      <c r="B349" s="657"/>
      <c r="C349" s="357" t="s">
        <v>14</v>
      </c>
      <c r="D349" s="361" t="s">
        <v>51</v>
      </c>
      <c r="E349" s="371" t="s">
        <v>41</v>
      </c>
      <c r="F349" s="179">
        <v>3</v>
      </c>
      <c r="G349" s="179">
        <v>0</v>
      </c>
      <c r="H349" s="358">
        <v>100</v>
      </c>
      <c r="I349" s="353"/>
      <c r="J349" s="379" t="s">
        <v>14</v>
      </c>
      <c r="K349" s="361" t="s">
        <v>309</v>
      </c>
      <c r="L349" s="357" t="s">
        <v>36</v>
      </c>
      <c r="M349" s="286">
        <v>14</v>
      </c>
      <c r="N349" s="286">
        <v>13</v>
      </c>
      <c r="O349" s="358">
        <f t="shared" si="53"/>
        <v>92.857142857142861</v>
      </c>
      <c r="P349" s="353"/>
      <c r="Q349" s="353"/>
      <c r="R349" s="359"/>
      <c r="S349" s="691"/>
      <c r="T349" s="438"/>
      <c r="U349" s="180"/>
      <c r="V349" s="155"/>
      <c r="W349" s="155"/>
      <c r="X349" s="155"/>
      <c r="Y349" s="155"/>
      <c r="Z349" s="155"/>
      <c r="AA349" s="155"/>
      <c r="AB349" s="155"/>
      <c r="AC349" s="155"/>
      <c r="AD349" s="155"/>
      <c r="AE349" s="155"/>
      <c r="AF349" s="155"/>
      <c r="AG349" s="155"/>
      <c r="AH349" s="155"/>
      <c r="AI349" s="155"/>
      <c r="AJ349" s="155"/>
      <c r="AK349" s="155"/>
      <c r="AL349" s="155"/>
      <c r="AM349" s="155"/>
      <c r="AN349" s="155"/>
      <c r="AO349" s="155"/>
      <c r="AP349" s="155"/>
      <c r="AQ349" s="155"/>
      <c r="AR349" s="155"/>
      <c r="AS349" s="155"/>
      <c r="AT349" s="155"/>
      <c r="AU349" s="155"/>
      <c r="AV349" s="155"/>
      <c r="AW349" s="155"/>
      <c r="AX349" s="155"/>
      <c r="AY349" s="155"/>
      <c r="AZ349" s="155"/>
    </row>
    <row r="350" spans="1:115" customFormat="1" ht="115.5" x14ac:dyDescent="0.3">
      <c r="A350" s="654"/>
      <c r="B350" s="657"/>
      <c r="C350" s="357" t="s">
        <v>15</v>
      </c>
      <c r="D350" s="361" t="s">
        <v>550</v>
      </c>
      <c r="E350" s="357" t="s">
        <v>25</v>
      </c>
      <c r="F350" s="179">
        <v>100</v>
      </c>
      <c r="G350" s="358">
        <v>94</v>
      </c>
      <c r="H350" s="358">
        <f>IF(G350/F350*100&gt;100,100,G350/F350*100)</f>
        <v>94</v>
      </c>
      <c r="I350" s="353"/>
      <c r="J350" s="379"/>
      <c r="K350" s="361"/>
      <c r="L350" s="357"/>
      <c r="M350" s="286"/>
      <c r="N350" s="286"/>
      <c r="O350" s="358"/>
      <c r="P350" s="353"/>
      <c r="Q350" s="353"/>
      <c r="R350" s="359"/>
      <c r="S350" s="691"/>
      <c r="T350" s="438"/>
      <c r="U350" s="180"/>
      <c r="V350" s="155"/>
      <c r="W350" s="155"/>
      <c r="X350" s="155"/>
      <c r="Y350" s="155"/>
      <c r="Z350" s="155"/>
      <c r="AA350" s="155"/>
      <c r="AB350" s="155"/>
      <c r="AC350" s="155"/>
      <c r="AD350" s="155"/>
      <c r="AE350" s="155"/>
      <c r="AF350" s="155"/>
      <c r="AG350" s="155"/>
      <c r="AH350" s="155"/>
      <c r="AI350" s="155"/>
      <c r="AJ350" s="155"/>
      <c r="AK350" s="155"/>
      <c r="AL350" s="155"/>
      <c r="AM350" s="155"/>
      <c r="AN350" s="155"/>
      <c r="AO350" s="155"/>
      <c r="AP350" s="155"/>
      <c r="AQ350" s="155"/>
      <c r="AR350" s="155"/>
      <c r="AS350" s="155"/>
      <c r="AT350" s="155"/>
      <c r="AU350" s="155"/>
      <c r="AV350" s="155"/>
      <c r="AW350" s="155"/>
      <c r="AX350" s="155"/>
      <c r="AY350" s="155"/>
      <c r="AZ350" s="155"/>
    </row>
    <row r="351" spans="1:115" customFormat="1" ht="82.5" x14ac:dyDescent="0.3">
      <c r="A351" s="654"/>
      <c r="B351" s="657"/>
      <c r="C351" s="357" t="s">
        <v>39</v>
      </c>
      <c r="D351" s="361" t="s">
        <v>311</v>
      </c>
      <c r="E351" s="357" t="s">
        <v>25</v>
      </c>
      <c r="F351" s="179">
        <v>98</v>
      </c>
      <c r="G351" s="358">
        <v>98</v>
      </c>
      <c r="H351" s="358">
        <f>IF(G351/F351*100&gt;100,100,G351/F351*100)</f>
        <v>100</v>
      </c>
      <c r="I351" s="353"/>
      <c r="J351" s="379"/>
      <c r="K351" s="361"/>
      <c r="L351" s="357"/>
      <c r="M351" s="286"/>
      <c r="N351" s="286"/>
      <c r="O351" s="358"/>
      <c r="P351" s="353"/>
      <c r="Q351" s="353"/>
      <c r="R351" s="359"/>
      <c r="S351" s="691"/>
      <c r="T351" s="438"/>
      <c r="U351" s="180"/>
      <c r="V351" s="155"/>
      <c r="W351" s="155"/>
      <c r="X351" s="155"/>
      <c r="Y351" s="155"/>
      <c r="Z351" s="155"/>
      <c r="AA351" s="155"/>
      <c r="AB351" s="155"/>
      <c r="AC351" s="155"/>
      <c r="AD351" s="155"/>
      <c r="AE351" s="155"/>
      <c r="AF351" s="155"/>
      <c r="AG351" s="155"/>
      <c r="AH351" s="155"/>
      <c r="AI351" s="155"/>
      <c r="AJ351" s="155"/>
      <c r="AK351" s="155"/>
      <c r="AL351" s="155"/>
      <c r="AM351" s="155"/>
      <c r="AN351" s="155"/>
      <c r="AO351" s="155"/>
      <c r="AP351" s="155"/>
      <c r="AQ351" s="155"/>
      <c r="AR351" s="155"/>
      <c r="AS351" s="155"/>
      <c r="AT351" s="155"/>
      <c r="AU351" s="155"/>
      <c r="AV351" s="155"/>
      <c r="AW351" s="155"/>
      <c r="AX351" s="155"/>
      <c r="AY351" s="155"/>
      <c r="AZ351" s="155"/>
    </row>
    <row r="352" spans="1:115" s="16" customFormat="1" ht="33" x14ac:dyDescent="0.3">
      <c r="A352" s="654"/>
      <c r="B352" s="657"/>
      <c r="C352" s="171"/>
      <c r="D352" s="21" t="s">
        <v>6</v>
      </c>
      <c r="E352" s="30"/>
      <c r="F352" s="100"/>
      <c r="G352" s="103"/>
      <c r="H352" s="7"/>
      <c r="I352" s="7">
        <f>(H349+H350+H351)/3</f>
        <v>98</v>
      </c>
      <c r="J352" s="384"/>
      <c r="K352" s="21" t="s">
        <v>6</v>
      </c>
      <c r="L352" s="30"/>
      <c r="M352" s="101"/>
      <c r="N352" s="101"/>
      <c r="O352" s="7"/>
      <c r="P352" s="7">
        <f>O349</f>
        <v>92.857142857142861</v>
      </c>
      <c r="Q352" s="7">
        <f>(I352+P352)/2</f>
        <v>95.428571428571431</v>
      </c>
      <c r="R352" s="176" t="s">
        <v>593</v>
      </c>
      <c r="S352" s="691"/>
      <c r="T352" s="438"/>
      <c r="U352" s="180"/>
      <c r="V352" s="155"/>
      <c r="W352" s="155"/>
      <c r="X352" s="155"/>
      <c r="Y352" s="155"/>
      <c r="Z352" s="155"/>
      <c r="AA352" s="155"/>
      <c r="AB352" s="155"/>
      <c r="AC352" s="155"/>
      <c r="AD352" s="155"/>
      <c r="AE352" s="155"/>
      <c r="AF352" s="155"/>
      <c r="AG352" s="155"/>
      <c r="AH352" s="155"/>
      <c r="AI352" s="155"/>
      <c r="AJ352" s="155"/>
      <c r="AK352" s="155"/>
      <c r="AL352" s="155"/>
      <c r="AM352" s="155"/>
      <c r="AN352" s="155"/>
      <c r="AO352" s="155"/>
      <c r="AP352" s="155"/>
      <c r="AQ352" s="155"/>
      <c r="AR352" s="155"/>
      <c r="AS352" s="155"/>
      <c r="AT352" s="155"/>
      <c r="AU352" s="155"/>
      <c r="AV352" s="155"/>
      <c r="AW352" s="155"/>
      <c r="AX352" s="155"/>
      <c r="AY352" s="155"/>
      <c r="AZ352" s="155"/>
    </row>
    <row r="353" spans="1:52" customFormat="1" ht="49.5" x14ac:dyDescent="0.3">
      <c r="A353" s="654"/>
      <c r="B353" s="657"/>
      <c r="C353" s="354" t="s">
        <v>28</v>
      </c>
      <c r="D353" s="22" t="s">
        <v>218</v>
      </c>
      <c r="E353" s="357"/>
      <c r="F353" s="179"/>
      <c r="G353" s="258"/>
      <c r="H353" s="353"/>
      <c r="I353" s="353"/>
      <c r="J353" s="58" t="str">
        <f>C353</f>
        <v>III</v>
      </c>
      <c r="K353" s="22" t="str">
        <f>D353</f>
        <v>Организация и проведение официальных спортивных мероприятий</v>
      </c>
      <c r="L353" s="357"/>
      <c r="M353" s="286"/>
      <c r="N353" s="286"/>
      <c r="O353" s="353"/>
      <c r="P353" s="353"/>
      <c r="Q353" s="353"/>
      <c r="R353" s="359"/>
      <c r="S353" s="691"/>
      <c r="T353" s="438"/>
      <c r="U353" s="180"/>
      <c r="V353" s="155"/>
      <c r="W353" s="155"/>
      <c r="X353" s="155"/>
      <c r="Y353" s="155"/>
      <c r="Z353" s="155"/>
      <c r="AA353" s="155"/>
      <c r="AB353" s="155"/>
      <c r="AC353" s="155"/>
      <c r="AD353" s="155"/>
      <c r="AE353" s="155"/>
      <c r="AF353" s="155"/>
      <c r="AG353" s="155"/>
      <c r="AH353" s="155"/>
      <c r="AI353" s="155"/>
      <c r="AJ353" s="155"/>
      <c r="AK353" s="155"/>
      <c r="AL353" s="155"/>
      <c r="AM353" s="155"/>
      <c r="AN353" s="155"/>
      <c r="AO353" s="155"/>
      <c r="AP353" s="155"/>
      <c r="AQ353" s="155"/>
      <c r="AR353" s="155"/>
      <c r="AS353" s="155"/>
      <c r="AT353" s="155"/>
      <c r="AU353" s="155"/>
      <c r="AV353" s="155"/>
      <c r="AW353" s="155"/>
      <c r="AX353" s="155"/>
      <c r="AY353" s="155"/>
      <c r="AZ353" s="155"/>
    </row>
    <row r="354" spans="1:52" customFormat="1" ht="33.75" customHeight="1" x14ac:dyDescent="0.3">
      <c r="A354" s="654"/>
      <c r="B354" s="657"/>
      <c r="C354" s="357" t="s">
        <v>29</v>
      </c>
      <c r="D354" s="361" t="s">
        <v>552</v>
      </c>
      <c r="E354" s="357" t="s">
        <v>38</v>
      </c>
      <c r="F354" s="179">
        <v>1000</v>
      </c>
      <c r="G354" s="286">
        <v>1000</v>
      </c>
      <c r="H354" s="358">
        <f>IF(G354/F354*100&gt;100,100,G354/F354*100)</f>
        <v>100</v>
      </c>
      <c r="I354" s="353"/>
      <c r="J354" s="379" t="str">
        <f>C354</f>
        <v>3.1.</v>
      </c>
      <c r="K354" s="361" t="s">
        <v>40</v>
      </c>
      <c r="L354" s="357" t="s">
        <v>36</v>
      </c>
      <c r="M354" s="286">
        <v>16</v>
      </c>
      <c r="N354" s="286">
        <v>15</v>
      </c>
      <c r="O354" s="358">
        <f t="shared" si="53"/>
        <v>93.75</v>
      </c>
      <c r="P354" s="353"/>
      <c r="Q354" s="353"/>
      <c r="R354" s="359"/>
      <c r="S354" s="691"/>
      <c r="T354" s="438"/>
      <c r="U354" s="180"/>
      <c r="V354" s="155"/>
      <c r="W354" s="155"/>
      <c r="X354" s="155"/>
      <c r="Y354" s="155"/>
      <c r="Z354" s="155"/>
      <c r="AA354" s="155"/>
      <c r="AB354" s="155"/>
      <c r="AC354" s="155"/>
      <c r="AD354" s="155"/>
      <c r="AE354" s="155"/>
      <c r="AF354" s="155"/>
      <c r="AG354" s="155"/>
      <c r="AH354" s="155"/>
      <c r="AI354" s="155"/>
      <c r="AJ354" s="155"/>
      <c r="AK354" s="155"/>
      <c r="AL354" s="155"/>
      <c r="AM354" s="155"/>
      <c r="AN354" s="155"/>
      <c r="AO354" s="155"/>
      <c r="AP354" s="155"/>
      <c r="AQ354" s="155"/>
      <c r="AR354" s="155"/>
      <c r="AS354" s="155"/>
      <c r="AT354" s="155"/>
      <c r="AU354" s="155"/>
      <c r="AV354" s="155"/>
      <c r="AW354" s="155"/>
      <c r="AX354" s="155"/>
      <c r="AY354" s="155"/>
      <c r="AZ354" s="155"/>
    </row>
    <row r="355" spans="1:52" customFormat="1" x14ac:dyDescent="0.3">
      <c r="A355" s="654"/>
      <c r="B355" s="657"/>
      <c r="C355" s="357" t="s">
        <v>30</v>
      </c>
      <c r="D355" s="361" t="s">
        <v>577</v>
      </c>
      <c r="E355" s="371" t="s">
        <v>41</v>
      </c>
      <c r="F355" s="179">
        <v>3</v>
      </c>
      <c r="G355" s="286">
        <v>0</v>
      </c>
      <c r="H355" s="358">
        <v>100</v>
      </c>
      <c r="I355" s="353"/>
      <c r="J355" s="58"/>
      <c r="K355" s="361"/>
      <c r="L355" s="357"/>
      <c r="M355" s="286"/>
      <c r="N355" s="286"/>
      <c r="O355" s="358"/>
      <c r="P355" s="353"/>
      <c r="Q355" s="353"/>
      <c r="R355" s="359"/>
      <c r="S355" s="691"/>
      <c r="T355" s="438"/>
      <c r="U355" s="180"/>
      <c r="V355" s="155"/>
      <c r="W355" s="155"/>
      <c r="X355" s="155"/>
      <c r="Y355" s="155"/>
      <c r="Z355" s="155"/>
      <c r="AA355" s="155"/>
      <c r="AB355" s="155"/>
      <c r="AC355" s="155"/>
      <c r="AD355" s="155"/>
      <c r="AE355" s="155"/>
      <c r="AF355" s="155"/>
      <c r="AG355" s="155"/>
      <c r="AH355" s="155"/>
      <c r="AI355" s="155"/>
      <c r="AJ355" s="155"/>
      <c r="AK355" s="155"/>
      <c r="AL355" s="155"/>
      <c r="AM355" s="155"/>
      <c r="AN355" s="155"/>
      <c r="AO355" s="155"/>
      <c r="AP355" s="155"/>
      <c r="AQ355" s="155"/>
      <c r="AR355" s="155"/>
      <c r="AS355" s="155"/>
      <c r="AT355" s="155"/>
      <c r="AU355" s="155"/>
      <c r="AV355" s="155"/>
      <c r="AW355" s="155"/>
      <c r="AX355" s="155"/>
      <c r="AY355" s="155"/>
      <c r="AZ355" s="155"/>
    </row>
    <row r="356" spans="1:52" s="16" customFormat="1" ht="33" x14ac:dyDescent="0.3">
      <c r="A356" s="655"/>
      <c r="B356" s="658"/>
      <c r="C356" s="171"/>
      <c r="D356" s="21" t="s">
        <v>6</v>
      </c>
      <c r="E356" s="30"/>
      <c r="F356" s="100"/>
      <c r="G356" s="103"/>
      <c r="H356" s="7"/>
      <c r="I356" s="7">
        <f>(H354+H355)/2</f>
        <v>100</v>
      </c>
      <c r="J356" s="384"/>
      <c r="K356" s="21" t="s">
        <v>6</v>
      </c>
      <c r="L356" s="30"/>
      <c r="M356" s="101"/>
      <c r="N356" s="101"/>
      <c r="O356" s="7"/>
      <c r="P356" s="7">
        <f>O354</f>
        <v>93.75</v>
      </c>
      <c r="Q356" s="7">
        <f>(I356+P356)/2</f>
        <v>96.875</v>
      </c>
      <c r="R356" s="176" t="s">
        <v>593</v>
      </c>
      <c r="S356" s="692"/>
      <c r="T356" s="438"/>
      <c r="U356" s="180"/>
      <c r="V356" s="155"/>
      <c r="W356" s="155"/>
      <c r="X356" s="155"/>
      <c r="Y356" s="155"/>
      <c r="Z356" s="155"/>
      <c r="AA356" s="155"/>
      <c r="AB356" s="155"/>
      <c r="AC356" s="155"/>
      <c r="AD356" s="155"/>
      <c r="AE356" s="155"/>
      <c r="AF356" s="155"/>
      <c r="AG356" s="155"/>
      <c r="AH356" s="155"/>
      <c r="AI356" s="155"/>
      <c r="AJ356" s="155"/>
      <c r="AK356" s="155"/>
      <c r="AL356" s="155"/>
      <c r="AM356" s="155"/>
      <c r="AN356" s="155"/>
      <c r="AO356" s="155"/>
      <c r="AP356" s="155"/>
      <c r="AQ356" s="155"/>
      <c r="AR356" s="155"/>
      <c r="AS356" s="155"/>
      <c r="AT356" s="155"/>
      <c r="AU356" s="155"/>
      <c r="AV356" s="155"/>
      <c r="AW356" s="155"/>
      <c r="AX356" s="155"/>
      <c r="AY356" s="155"/>
      <c r="AZ356" s="155"/>
    </row>
    <row r="357" spans="1:52" customFormat="1" ht="33" customHeight="1" x14ac:dyDescent="0.3">
      <c r="A357" s="687" t="s">
        <v>83</v>
      </c>
      <c r="B357" s="657" t="s">
        <v>487</v>
      </c>
      <c r="C357" s="369" t="s">
        <v>12</v>
      </c>
      <c r="D357" s="23" t="s">
        <v>214</v>
      </c>
      <c r="E357" s="371"/>
      <c r="F357" s="76"/>
      <c r="G357" s="80"/>
      <c r="H357" s="372"/>
      <c r="I357" s="372"/>
      <c r="J357" s="296" t="str">
        <f>C357</f>
        <v>I</v>
      </c>
      <c r="K357" s="23" t="str">
        <f>D357</f>
        <v>Обеспечение доступа к объектам спорта</v>
      </c>
      <c r="L357" s="371"/>
      <c r="M357" s="369"/>
      <c r="N357" s="369"/>
      <c r="O357" s="372"/>
      <c r="P357" s="372"/>
      <c r="Q357" s="372"/>
      <c r="R357" s="359"/>
      <c r="S357" s="675" t="s">
        <v>594</v>
      </c>
      <c r="T357" s="438"/>
      <c r="U357" s="180"/>
      <c r="V357" s="155"/>
      <c r="W357" s="155"/>
      <c r="X357" s="155"/>
      <c r="Y357" s="155"/>
      <c r="Z357" s="155"/>
      <c r="AA357" s="155"/>
      <c r="AB357" s="155"/>
      <c r="AC357" s="155"/>
      <c r="AD357" s="155"/>
      <c r="AE357" s="155"/>
      <c r="AF357" s="155"/>
      <c r="AG357" s="155"/>
      <c r="AH357" s="155"/>
      <c r="AI357" s="155"/>
      <c r="AJ357" s="155"/>
      <c r="AK357" s="155"/>
      <c r="AL357" s="155"/>
      <c r="AM357" s="155"/>
      <c r="AN357" s="155"/>
      <c r="AO357" s="155"/>
      <c r="AP357" s="155"/>
      <c r="AQ357" s="155"/>
      <c r="AR357" s="155"/>
      <c r="AS357" s="155"/>
      <c r="AT357" s="155"/>
      <c r="AU357" s="155"/>
      <c r="AV357" s="155"/>
      <c r="AW357" s="155"/>
      <c r="AX357" s="155"/>
      <c r="AY357" s="155"/>
      <c r="AZ357" s="155"/>
    </row>
    <row r="358" spans="1:52" customFormat="1" ht="18.75" customHeight="1" x14ac:dyDescent="0.3">
      <c r="A358" s="687"/>
      <c r="B358" s="657"/>
      <c r="C358" s="371" t="s">
        <v>7</v>
      </c>
      <c r="D358" s="377" t="s">
        <v>51</v>
      </c>
      <c r="E358" s="371" t="s">
        <v>41</v>
      </c>
      <c r="F358" s="74">
        <v>3</v>
      </c>
      <c r="G358" s="74">
        <v>0</v>
      </c>
      <c r="H358" s="24">
        <v>100</v>
      </c>
      <c r="I358" s="372"/>
      <c r="J358" s="418" t="str">
        <f>C358</f>
        <v>1.1.</v>
      </c>
      <c r="K358" s="377" t="s">
        <v>309</v>
      </c>
      <c r="L358" s="371" t="s">
        <v>36</v>
      </c>
      <c r="M358" s="96">
        <v>5</v>
      </c>
      <c r="N358" s="96">
        <v>5</v>
      </c>
      <c r="O358" s="24">
        <f t="shared" si="53"/>
        <v>100</v>
      </c>
      <c r="P358" s="372"/>
      <c r="Q358" s="372"/>
      <c r="R358" s="359"/>
      <c r="S358" s="675"/>
      <c r="T358" s="438"/>
      <c r="U358" s="180"/>
      <c r="V358" s="155"/>
      <c r="W358" s="155"/>
      <c r="X358" s="155"/>
      <c r="Y358" s="155"/>
      <c r="Z358" s="155"/>
      <c r="AA358" s="155"/>
      <c r="AB358" s="155"/>
      <c r="AC358" s="155"/>
      <c r="AD358" s="155"/>
      <c r="AE358" s="155"/>
      <c r="AF358" s="155"/>
      <c r="AG358" s="155"/>
      <c r="AH358" s="155"/>
      <c r="AI358" s="155"/>
      <c r="AJ358" s="155"/>
      <c r="AK358" s="155"/>
      <c r="AL358" s="155"/>
      <c r="AM358" s="155"/>
      <c r="AN358" s="155"/>
      <c r="AO358" s="155"/>
      <c r="AP358" s="155"/>
      <c r="AQ358" s="155"/>
      <c r="AR358" s="155"/>
      <c r="AS358" s="155"/>
      <c r="AT358" s="155"/>
      <c r="AU358" s="155"/>
      <c r="AV358" s="155"/>
      <c r="AW358" s="155"/>
      <c r="AX358" s="155"/>
      <c r="AY358" s="155"/>
      <c r="AZ358" s="155"/>
    </row>
    <row r="359" spans="1:52" customFormat="1" ht="99" x14ac:dyDescent="0.3">
      <c r="A359" s="687"/>
      <c r="B359" s="657"/>
      <c r="C359" s="371" t="s">
        <v>8</v>
      </c>
      <c r="D359" s="377" t="s">
        <v>405</v>
      </c>
      <c r="E359" s="371" t="s">
        <v>25</v>
      </c>
      <c r="F359" s="74">
        <v>95</v>
      </c>
      <c r="G359" s="24">
        <v>100</v>
      </c>
      <c r="H359" s="24">
        <f>IF(G359/F359*100&gt;100,100,G359/F359*100)</f>
        <v>100</v>
      </c>
      <c r="I359" s="372"/>
      <c r="J359" s="418"/>
      <c r="K359" s="377"/>
      <c r="L359" s="371"/>
      <c r="M359" s="12"/>
      <c r="N359" s="12"/>
      <c r="O359" s="24"/>
      <c r="P359" s="372"/>
      <c r="Q359" s="372"/>
      <c r="R359" s="359"/>
      <c r="S359" s="675"/>
      <c r="T359" s="438"/>
      <c r="U359" s="150"/>
      <c r="V359" s="155"/>
      <c r="W359" s="155"/>
      <c r="X359" s="155"/>
      <c r="Y359" s="155"/>
      <c r="Z359" s="155"/>
      <c r="AA359" s="155"/>
      <c r="AB359" s="155"/>
      <c r="AC359" s="155"/>
      <c r="AD359" s="155"/>
      <c r="AE359" s="155"/>
      <c r="AF359" s="155"/>
      <c r="AG359" s="155"/>
      <c r="AH359" s="155"/>
      <c r="AI359" s="155"/>
      <c r="AJ359" s="155"/>
      <c r="AK359" s="155"/>
      <c r="AL359" s="155"/>
      <c r="AM359" s="155"/>
      <c r="AN359" s="155"/>
      <c r="AO359" s="155"/>
      <c r="AP359" s="155"/>
      <c r="AQ359" s="155"/>
      <c r="AR359" s="155"/>
      <c r="AS359" s="155"/>
      <c r="AT359" s="155"/>
      <c r="AU359" s="155"/>
      <c r="AV359" s="155"/>
      <c r="AW359" s="155"/>
      <c r="AX359" s="155"/>
      <c r="AY359" s="155"/>
      <c r="AZ359" s="155"/>
    </row>
    <row r="360" spans="1:52" customFormat="1" ht="99" x14ac:dyDescent="0.3">
      <c r="A360" s="687"/>
      <c r="B360" s="657"/>
      <c r="C360" s="371" t="s">
        <v>9</v>
      </c>
      <c r="D360" s="377" t="s">
        <v>488</v>
      </c>
      <c r="E360" s="371" t="s">
        <v>25</v>
      </c>
      <c r="F360" s="74">
        <v>98</v>
      </c>
      <c r="G360" s="24">
        <v>100</v>
      </c>
      <c r="H360" s="24">
        <f>IF(G360/F360*100&gt;100,100,G360/F360*100)</f>
        <v>100</v>
      </c>
      <c r="I360" s="372"/>
      <c r="J360" s="418"/>
      <c r="K360" s="377"/>
      <c r="L360" s="371"/>
      <c r="M360" s="12"/>
      <c r="N360" s="12"/>
      <c r="O360" s="24"/>
      <c r="P360" s="372"/>
      <c r="Q360" s="372"/>
      <c r="R360" s="359"/>
      <c r="S360" s="675"/>
      <c r="T360" s="438"/>
      <c r="U360" s="289"/>
      <c r="V360" s="155"/>
      <c r="W360" s="155"/>
      <c r="X360" s="155"/>
      <c r="Y360" s="155"/>
      <c r="Z360" s="155"/>
      <c r="AA360" s="155"/>
      <c r="AB360" s="155"/>
      <c r="AC360" s="155"/>
      <c r="AD360" s="155"/>
      <c r="AE360" s="155"/>
      <c r="AF360" s="155"/>
      <c r="AG360" s="155"/>
      <c r="AH360" s="155"/>
      <c r="AI360" s="155"/>
      <c r="AJ360" s="155"/>
      <c r="AK360" s="155"/>
      <c r="AL360" s="155"/>
      <c r="AM360" s="155"/>
      <c r="AN360" s="155"/>
      <c r="AO360" s="155"/>
      <c r="AP360" s="155"/>
      <c r="AQ360" s="155"/>
      <c r="AR360" s="155"/>
      <c r="AS360" s="155"/>
      <c r="AT360" s="155"/>
    </row>
    <row r="361" spans="1:52" s="16" customFormat="1" ht="33" x14ac:dyDescent="0.3">
      <c r="A361" s="687"/>
      <c r="B361" s="657"/>
      <c r="C361" s="171"/>
      <c r="D361" s="21" t="s">
        <v>6</v>
      </c>
      <c r="E361" s="30"/>
      <c r="F361" s="100"/>
      <c r="G361" s="103"/>
      <c r="H361" s="7"/>
      <c r="I361" s="7">
        <f>(H358+H359+H360)/3</f>
        <v>100</v>
      </c>
      <c r="J361" s="384"/>
      <c r="K361" s="21" t="s">
        <v>6</v>
      </c>
      <c r="L361" s="30"/>
      <c r="M361" s="101"/>
      <c r="N361" s="101"/>
      <c r="O361" s="7"/>
      <c r="P361" s="7">
        <f>O358</f>
        <v>100</v>
      </c>
      <c r="Q361" s="7">
        <f>(I361+P361)/2</f>
        <v>100</v>
      </c>
      <c r="R361" s="176" t="s">
        <v>31</v>
      </c>
      <c r="S361" s="675"/>
      <c r="T361" s="438"/>
      <c r="U361" s="180"/>
      <c r="V361" s="155"/>
      <c r="W361" s="155"/>
      <c r="X361" s="155"/>
      <c r="Y361" s="155"/>
      <c r="Z361" s="155"/>
      <c r="AA361" s="155"/>
      <c r="AB361" s="155"/>
      <c r="AC361" s="155"/>
      <c r="AD361" s="155"/>
      <c r="AE361" s="155"/>
      <c r="AF361" s="155"/>
      <c r="AG361" s="155"/>
      <c r="AH361" s="155"/>
      <c r="AI361" s="155"/>
      <c r="AJ361" s="155"/>
      <c r="AK361" s="155"/>
      <c r="AL361" s="155"/>
      <c r="AM361" s="155"/>
      <c r="AN361" s="155"/>
      <c r="AO361" s="155"/>
      <c r="AP361" s="155"/>
      <c r="AQ361" s="155"/>
      <c r="AR361" s="155"/>
      <c r="AS361" s="155"/>
      <c r="AT361" s="155"/>
    </row>
    <row r="362" spans="1:52" customFormat="1" ht="49.5" x14ac:dyDescent="0.3">
      <c r="A362" s="687"/>
      <c r="B362" s="657"/>
      <c r="C362" s="369" t="s">
        <v>13</v>
      </c>
      <c r="D362" s="23" t="s">
        <v>218</v>
      </c>
      <c r="E362" s="371"/>
      <c r="F362" s="74"/>
      <c r="G362" s="107"/>
      <c r="H362" s="372"/>
      <c r="I362" s="372"/>
      <c r="J362" s="296" t="str">
        <f>C362</f>
        <v>II</v>
      </c>
      <c r="K362" s="23" t="str">
        <f>D362</f>
        <v>Организация и проведение официальных спортивных мероприятий</v>
      </c>
      <c r="L362" s="371"/>
      <c r="M362" s="369"/>
      <c r="N362" s="369"/>
      <c r="O362" s="372"/>
      <c r="P362" s="372"/>
      <c r="Q362" s="372"/>
      <c r="R362" s="359"/>
      <c r="S362" s="675"/>
      <c r="T362" s="438"/>
      <c r="U362" s="289"/>
      <c r="V362" s="155"/>
      <c r="W362" s="155"/>
      <c r="X362" s="155"/>
      <c r="Y362" s="155"/>
      <c r="Z362" s="155"/>
      <c r="AA362" s="155"/>
      <c r="AB362" s="155"/>
      <c r="AC362" s="155"/>
      <c r="AD362" s="155"/>
      <c r="AE362" s="155"/>
      <c r="AF362" s="155"/>
      <c r="AG362" s="155"/>
      <c r="AH362" s="155"/>
      <c r="AI362" s="155"/>
      <c r="AJ362" s="155"/>
      <c r="AK362" s="155"/>
      <c r="AL362" s="155"/>
      <c r="AM362" s="155"/>
      <c r="AN362" s="155"/>
      <c r="AO362" s="155"/>
      <c r="AP362" s="155"/>
      <c r="AQ362" s="155"/>
      <c r="AR362" s="155"/>
      <c r="AS362" s="155"/>
      <c r="AT362" s="155"/>
    </row>
    <row r="363" spans="1:52" customFormat="1" ht="37.5" customHeight="1" x14ac:dyDescent="0.3">
      <c r="A363" s="687"/>
      <c r="B363" s="657"/>
      <c r="C363" s="371" t="s">
        <v>14</v>
      </c>
      <c r="D363" s="377" t="s">
        <v>552</v>
      </c>
      <c r="E363" s="371" t="s">
        <v>38</v>
      </c>
      <c r="F363" s="74">
        <v>15</v>
      </c>
      <c r="G363" s="96">
        <v>15</v>
      </c>
      <c r="H363" s="24">
        <f>IF(G363/F363*100&gt;100,100,G363/F363*100)</f>
        <v>100</v>
      </c>
      <c r="I363" s="372"/>
      <c r="J363" s="418" t="str">
        <f>C363</f>
        <v>2.1.</v>
      </c>
      <c r="K363" s="377" t="s">
        <v>40</v>
      </c>
      <c r="L363" s="371" t="s">
        <v>36</v>
      </c>
      <c r="M363" s="371">
        <v>1</v>
      </c>
      <c r="N363" s="371">
        <v>1</v>
      </c>
      <c r="O363" s="24">
        <f t="shared" si="53"/>
        <v>100</v>
      </c>
      <c r="P363" s="372"/>
      <c r="Q363" s="372"/>
      <c r="R363" s="359"/>
      <c r="S363" s="675"/>
      <c r="T363" s="438"/>
      <c r="U363" s="289"/>
      <c r="V363" s="155"/>
      <c r="W363" s="155"/>
      <c r="X363" s="155"/>
      <c r="Y363" s="155"/>
      <c r="Z363" s="155"/>
      <c r="AA363" s="155"/>
      <c r="AB363" s="155"/>
      <c r="AC363" s="155"/>
      <c r="AD363" s="155"/>
      <c r="AE363" s="155"/>
      <c r="AF363" s="155"/>
      <c r="AG363" s="155"/>
      <c r="AH363" s="155"/>
      <c r="AI363" s="155"/>
      <c r="AJ363" s="155"/>
      <c r="AK363" s="155"/>
      <c r="AL363" s="155"/>
      <c r="AM363" s="155"/>
      <c r="AN363" s="155"/>
      <c r="AO363" s="155"/>
      <c r="AP363" s="155"/>
      <c r="AQ363" s="155"/>
      <c r="AR363" s="155"/>
      <c r="AS363" s="155"/>
      <c r="AT363" s="155"/>
    </row>
    <row r="364" spans="1:52" customFormat="1" x14ac:dyDescent="0.3">
      <c r="A364" s="687"/>
      <c r="B364" s="657"/>
      <c r="C364" s="371" t="s">
        <v>15</v>
      </c>
      <c r="D364" s="377" t="s">
        <v>577</v>
      </c>
      <c r="E364" s="371" t="s">
        <v>41</v>
      </c>
      <c r="F364" s="74">
        <v>3</v>
      </c>
      <c r="G364" s="96">
        <v>0</v>
      </c>
      <c r="H364" s="24">
        <v>100</v>
      </c>
      <c r="I364" s="372"/>
      <c r="J364" s="296"/>
      <c r="K364" s="377"/>
      <c r="L364" s="371"/>
      <c r="M364" s="371"/>
      <c r="N364" s="371"/>
      <c r="O364" s="24"/>
      <c r="P364" s="372"/>
      <c r="Q364" s="372"/>
      <c r="R364" s="359"/>
      <c r="S364" s="675"/>
      <c r="T364" s="438"/>
      <c r="U364" s="150"/>
      <c r="V364" s="155"/>
      <c r="W364" s="155"/>
      <c r="X364" s="155"/>
      <c r="Y364" s="155"/>
      <c r="Z364" s="155"/>
      <c r="AA364" s="155"/>
      <c r="AB364" s="155"/>
      <c r="AC364" s="155"/>
      <c r="AD364" s="155"/>
      <c r="AE364" s="155"/>
      <c r="AF364" s="155"/>
      <c r="AG364" s="155"/>
      <c r="AH364" s="155"/>
      <c r="AI364" s="155"/>
      <c r="AJ364" s="155"/>
      <c r="AK364" s="155"/>
      <c r="AL364" s="155"/>
      <c r="AM364" s="155"/>
      <c r="AN364" s="155"/>
      <c r="AO364" s="155"/>
      <c r="AP364" s="155"/>
      <c r="AQ364" s="155"/>
      <c r="AR364" s="155"/>
      <c r="AS364" s="155"/>
      <c r="AT364" s="155"/>
    </row>
    <row r="365" spans="1:52" s="16" customFormat="1" ht="33" x14ac:dyDescent="0.3">
      <c r="A365" s="687"/>
      <c r="B365" s="657"/>
      <c r="C365" s="171"/>
      <c r="D365" s="21" t="s">
        <v>6</v>
      </c>
      <c r="E365" s="30"/>
      <c r="F365" s="100"/>
      <c r="G365" s="103"/>
      <c r="H365" s="7"/>
      <c r="I365" s="7">
        <f>(H363+H364)/2</f>
        <v>100</v>
      </c>
      <c r="J365" s="384"/>
      <c r="K365" s="21" t="s">
        <v>6</v>
      </c>
      <c r="L365" s="30"/>
      <c r="M365" s="101"/>
      <c r="N365" s="101"/>
      <c r="O365" s="7"/>
      <c r="P365" s="7">
        <f>O363</f>
        <v>100</v>
      </c>
      <c r="Q365" s="7">
        <f>(I365+P365)/2</f>
        <v>100</v>
      </c>
      <c r="R365" s="176" t="s">
        <v>31</v>
      </c>
      <c r="S365" s="675"/>
      <c r="T365" s="438"/>
      <c r="U365" s="180"/>
      <c r="V365" s="155"/>
      <c r="W365" s="155"/>
      <c r="X365" s="155"/>
      <c r="Y365" s="155"/>
      <c r="Z365" s="155"/>
      <c r="AA365" s="155"/>
      <c r="AB365" s="155"/>
      <c r="AC365" s="155"/>
      <c r="AD365" s="155"/>
      <c r="AE365" s="155"/>
      <c r="AF365" s="155"/>
      <c r="AG365" s="155"/>
      <c r="AH365" s="155"/>
      <c r="AI365" s="155"/>
      <c r="AJ365" s="155"/>
      <c r="AK365" s="155"/>
      <c r="AL365" s="155"/>
      <c r="AM365" s="155"/>
      <c r="AN365" s="155"/>
      <c r="AO365" s="155"/>
      <c r="AP365" s="155"/>
      <c r="AQ365" s="155"/>
      <c r="AR365" s="155"/>
      <c r="AS365" s="155"/>
      <c r="AT365" s="155"/>
    </row>
    <row r="366" spans="1:52" customFormat="1" ht="82.5" x14ac:dyDescent="0.3">
      <c r="A366" s="687"/>
      <c r="B366" s="657"/>
      <c r="C366" s="369" t="s">
        <v>28</v>
      </c>
      <c r="D366" s="23" t="s">
        <v>217</v>
      </c>
      <c r="E366" s="371"/>
      <c r="F366" s="74"/>
      <c r="G366" s="96"/>
      <c r="H366" s="372"/>
      <c r="I366" s="372"/>
      <c r="J366" s="296" t="str">
        <f>C366</f>
        <v>III</v>
      </c>
      <c r="K366" s="23" t="str">
        <f>D366</f>
        <v>Организация и проведение официальных физкультурных (физкультурно-оздоровительных) мероприятий</v>
      </c>
      <c r="L366" s="371"/>
      <c r="M366" s="369"/>
      <c r="N366" s="369"/>
      <c r="O366" s="372"/>
      <c r="P366" s="372"/>
      <c r="Q366" s="372"/>
      <c r="R366" s="359"/>
      <c r="S366" s="675"/>
      <c r="T366" s="438"/>
      <c r="U366" s="289"/>
      <c r="V366" s="155"/>
      <c r="W366" s="155"/>
      <c r="X366" s="155"/>
      <c r="Y366" s="155"/>
      <c r="Z366" s="155"/>
      <c r="AA366" s="155"/>
      <c r="AB366" s="155"/>
      <c r="AC366" s="155"/>
      <c r="AD366" s="155"/>
      <c r="AE366" s="155"/>
      <c r="AF366" s="155"/>
      <c r="AG366" s="155"/>
      <c r="AH366" s="155"/>
      <c r="AI366" s="155"/>
      <c r="AJ366" s="155"/>
      <c r="AK366" s="155"/>
      <c r="AL366" s="155"/>
      <c r="AM366" s="155"/>
      <c r="AN366" s="155"/>
      <c r="AO366" s="155"/>
      <c r="AP366" s="155"/>
      <c r="AQ366" s="155"/>
      <c r="AR366" s="155"/>
      <c r="AS366" s="155"/>
      <c r="AT366" s="155"/>
    </row>
    <row r="367" spans="1:52" customFormat="1" ht="55.5" customHeight="1" x14ac:dyDescent="0.3">
      <c r="A367" s="687"/>
      <c r="B367" s="657"/>
      <c r="C367" s="371" t="s">
        <v>29</v>
      </c>
      <c r="D367" s="377" t="s">
        <v>553</v>
      </c>
      <c r="E367" s="371" t="s">
        <v>38</v>
      </c>
      <c r="F367" s="74">
        <v>300</v>
      </c>
      <c r="G367" s="371">
        <v>300</v>
      </c>
      <c r="H367" s="24">
        <f>IF(G367/F367*100&gt;100,100,G367/F367*100)</f>
        <v>100</v>
      </c>
      <c r="I367" s="372"/>
      <c r="J367" s="418" t="str">
        <f>C367</f>
        <v>3.1.</v>
      </c>
      <c r="K367" s="377" t="s">
        <v>40</v>
      </c>
      <c r="L367" s="371" t="s">
        <v>36</v>
      </c>
      <c r="M367" s="371">
        <v>1</v>
      </c>
      <c r="N367" s="371">
        <v>1</v>
      </c>
      <c r="O367" s="24">
        <f t="shared" si="53"/>
        <v>100</v>
      </c>
      <c r="P367" s="372"/>
      <c r="Q367" s="372"/>
      <c r="R367" s="359"/>
      <c r="S367" s="675"/>
      <c r="T367" s="438"/>
      <c r="U367" s="289"/>
      <c r="V367" s="155"/>
      <c r="W367" s="155"/>
      <c r="X367" s="155"/>
      <c r="Y367" s="155"/>
      <c r="Z367" s="155"/>
      <c r="AA367" s="155"/>
      <c r="AB367" s="155"/>
      <c r="AC367" s="155"/>
      <c r="AD367" s="155"/>
      <c r="AE367" s="155"/>
      <c r="AF367" s="155"/>
      <c r="AG367" s="155"/>
      <c r="AH367" s="155"/>
      <c r="AI367" s="155"/>
      <c r="AJ367" s="155"/>
      <c r="AK367" s="155"/>
      <c r="AL367" s="155"/>
      <c r="AM367" s="155"/>
      <c r="AN367" s="155"/>
      <c r="AO367" s="155"/>
      <c r="AP367" s="155"/>
      <c r="AQ367" s="155"/>
      <c r="AR367" s="155"/>
      <c r="AS367" s="155"/>
      <c r="AT367" s="155"/>
    </row>
    <row r="368" spans="1:52" customFormat="1" x14ac:dyDescent="0.3">
      <c r="A368" s="687"/>
      <c r="B368" s="657"/>
      <c r="C368" s="371" t="s">
        <v>30</v>
      </c>
      <c r="D368" s="377" t="s">
        <v>577</v>
      </c>
      <c r="E368" s="371" t="s">
        <v>41</v>
      </c>
      <c r="F368" s="74">
        <v>3</v>
      </c>
      <c r="G368" s="371">
        <v>0</v>
      </c>
      <c r="H368" s="24">
        <v>100</v>
      </c>
      <c r="I368" s="372"/>
      <c r="J368" s="296"/>
      <c r="K368" s="377"/>
      <c r="L368" s="371"/>
      <c r="M368" s="371"/>
      <c r="N368" s="371"/>
      <c r="O368" s="24"/>
      <c r="P368" s="372"/>
      <c r="Q368" s="372"/>
      <c r="R368" s="359"/>
      <c r="S368" s="675"/>
      <c r="T368" s="438"/>
      <c r="U368" s="150"/>
      <c r="V368" s="155"/>
      <c r="W368" s="155"/>
      <c r="X368" s="155"/>
      <c r="Y368" s="155"/>
      <c r="Z368" s="155"/>
      <c r="AA368" s="155"/>
      <c r="AB368" s="155"/>
      <c r="AC368" s="155"/>
      <c r="AD368" s="155"/>
      <c r="AE368" s="155"/>
      <c r="AF368" s="155"/>
      <c r="AG368" s="155"/>
      <c r="AH368" s="155"/>
      <c r="AI368" s="155"/>
      <c r="AJ368" s="155"/>
      <c r="AK368" s="155"/>
      <c r="AL368" s="155"/>
      <c r="AM368" s="155"/>
      <c r="AN368" s="155"/>
      <c r="AO368" s="155"/>
      <c r="AP368" s="155"/>
      <c r="AQ368" s="155"/>
      <c r="AR368" s="155"/>
      <c r="AS368" s="155"/>
      <c r="AT368" s="155"/>
    </row>
    <row r="369" spans="1:46" s="104" customFormat="1" ht="33" x14ac:dyDescent="0.3">
      <c r="A369" s="688"/>
      <c r="B369" s="658"/>
      <c r="C369" s="30"/>
      <c r="D369" s="21" t="s">
        <v>6</v>
      </c>
      <c r="E369" s="30"/>
      <c r="F369" s="100"/>
      <c r="G369" s="172"/>
      <c r="H369" s="7"/>
      <c r="I369" s="7">
        <f>(H367+H368)/2</f>
        <v>100</v>
      </c>
      <c r="J369" s="384"/>
      <c r="K369" s="21" t="s">
        <v>6</v>
      </c>
      <c r="L369" s="30"/>
      <c r="M369" s="30"/>
      <c r="N369" s="30"/>
      <c r="O369" s="7"/>
      <c r="P369" s="7">
        <f>O367</f>
        <v>100</v>
      </c>
      <c r="Q369" s="7">
        <f t="shared" ref="Q369:Q385" si="54">(I369+P369)/2</f>
        <v>100</v>
      </c>
      <c r="R369" s="176" t="s">
        <v>31</v>
      </c>
      <c r="S369" s="676"/>
      <c r="T369" s="438"/>
      <c r="U369" s="289"/>
      <c r="V369" s="155"/>
      <c r="W369" s="155"/>
      <c r="X369" s="155"/>
      <c r="Y369" s="155"/>
      <c r="Z369" s="155"/>
      <c r="AA369" s="155"/>
      <c r="AB369" s="155"/>
      <c r="AC369" s="155"/>
      <c r="AD369" s="155"/>
      <c r="AE369" s="155"/>
      <c r="AF369" s="155"/>
      <c r="AG369" s="155"/>
      <c r="AH369" s="155"/>
      <c r="AI369" s="155"/>
      <c r="AJ369" s="155"/>
      <c r="AK369" s="155"/>
      <c r="AL369" s="155"/>
      <c r="AM369" s="155"/>
      <c r="AN369" s="155"/>
      <c r="AO369" s="155"/>
      <c r="AP369" s="155"/>
      <c r="AQ369" s="155"/>
      <c r="AR369" s="155"/>
      <c r="AS369" s="155"/>
      <c r="AT369" s="155"/>
    </row>
    <row r="370" spans="1:46" customFormat="1" ht="49.5" x14ac:dyDescent="0.3">
      <c r="A370" s="693" t="s">
        <v>84</v>
      </c>
      <c r="B370" s="656" t="s">
        <v>489</v>
      </c>
      <c r="C370" s="369" t="s">
        <v>12</v>
      </c>
      <c r="D370" s="23" t="s">
        <v>511</v>
      </c>
      <c r="E370" s="369"/>
      <c r="F370" s="76"/>
      <c r="G370" s="80"/>
      <c r="H370" s="372"/>
      <c r="I370" s="372"/>
      <c r="J370" s="296" t="s">
        <v>12</v>
      </c>
      <c r="K370" s="23" t="str">
        <f>D370</f>
        <v>Организация физкультурно-спортивной работы по месту жительства граждан</v>
      </c>
      <c r="L370" s="369"/>
      <c r="M370" s="369"/>
      <c r="N370" s="369"/>
      <c r="O370" s="372"/>
      <c r="P370" s="372"/>
      <c r="Q370" s="372"/>
      <c r="R370" s="359"/>
      <c r="S370" s="668" t="s">
        <v>279</v>
      </c>
      <c r="T370" s="438"/>
      <c r="U370" s="289"/>
      <c r="V370" s="155"/>
      <c r="W370" s="155"/>
      <c r="X370" s="155"/>
      <c r="Y370" s="155"/>
      <c r="Z370" s="155"/>
      <c r="AA370" s="155"/>
      <c r="AB370" s="155"/>
      <c r="AC370" s="155"/>
      <c r="AD370" s="155"/>
      <c r="AE370" s="155"/>
      <c r="AF370" s="155"/>
      <c r="AG370" s="155"/>
      <c r="AH370" s="155"/>
      <c r="AI370" s="155"/>
      <c r="AJ370" s="155"/>
      <c r="AK370" s="155"/>
      <c r="AL370" s="155"/>
      <c r="AM370" s="155"/>
      <c r="AN370" s="155"/>
      <c r="AO370" s="155"/>
      <c r="AP370" s="155"/>
      <c r="AQ370" s="155"/>
      <c r="AR370" s="155"/>
      <c r="AS370" s="155"/>
      <c r="AT370" s="155"/>
    </row>
    <row r="371" spans="1:46" customFormat="1" ht="39" customHeight="1" x14ac:dyDescent="0.3">
      <c r="A371" s="687"/>
      <c r="B371" s="657"/>
      <c r="C371" s="77" t="s">
        <v>7</v>
      </c>
      <c r="D371" s="377" t="s">
        <v>51</v>
      </c>
      <c r="E371" s="371" t="s">
        <v>41</v>
      </c>
      <c r="F371" s="74">
        <v>3</v>
      </c>
      <c r="G371" s="74">
        <v>0</v>
      </c>
      <c r="H371" s="24">
        <v>100</v>
      </c>
      <c r="I371" s="372"/>
      <c r="J371" s="418" t="s">
        <v>7</v>
      </c>
      <c r="K371" s="377" t="s">
        <v>219</v>
      </c>
      <c r="L371" s="371" t="s">
        <v>36</v>
      </c>
      <c r="M371" s="371">
        <v>2160</v>
      </c>
      <c r="N371" s="371">
        <v>2160</v>
      </c>
      <c r="O371" s="24">
        <f t="shared" si="53"/>
        <v>100</v>
      </c>
      <c r="P371" s="369"/>
      <c r="Q371" s="372"/>
      <c r="R371" s="359"/>
      <c r="S371" s="669"/>
      <c r="T371" s="438"/>
      <c r="U371" s="180"/>
      <c r="V371" s="155"/>
      <c r="W371" s="155"/>
      <c r="X371" s="155"/>
      <c r="Y371" s="155"/>
      <c r="Z371" s="155"/>
      <c r="AA371" s="155"/>
      <c r="AB371" s="155"/>
      <c r="AC371" s="155"/>
      <c r="AD371" s="155"/>
      <c r="AE371" s="155"/>
      <c r="AF371" s="155"/>
      <c r="AG371" s="155"/>
      <c r="AH371" s="155"/>
      <c r="AI371" s="155"/>
      <c r="AJ371" s="155"/>
      <c r="AK371" s="155"/>
      <c r="AL371" s="155"/>
      <c r="AM371" s="155"/>
      <c r="AN371" s="155"/>
      <c r="AO371" s="155"/>
      <c r="AP371" s="155"/>
      <c r="AQ371" s="155"/>
      <c r="AR371" s="155"/>
      <c r="AS371" s="155"/>
      <c r="AT371" s="155"/>
    </row>
    <row r="372" spans="1:46" s="16" customFormat="1" ht="33" x14ac:dyDescent="0.3">
      <c r="A372" s="687"/>
      <c r="B372" s="657"/>
      <c r="C372" s="171"/>
      <c r="D372" s="21" t="s">
        <v>6</v>
      </c>
      <c r="E372" s="30"/>
      <c r="F372" s="100"/>
      <c r="G372" s="103"/>
      <c r="H372" s="7"/>
      <c r="I372" s="7">
        <f>H371</f>
        <v>100</v>
      </c>
      <c r="J372" s="384"/>
      <c r="K372" s="21" t="s">
        <v>6</v>
      </c>
      <c r="L372" s="30"/>
      <c r="M372" s="101"/>
      <c r="N372" s="101"/>
      <c r="O372" s="7"/>
      <c r="P372" s="7">
        <f>O371</f>
        <v>100</v>
      </c>
      <c r="Q372" s="7">
        <f>(I372+P372)/2</f>
        <v>100</v>
      </c>
      <c r="R372" s="176" t="s">
        <v>31</v>
      </c>
      <c r="S372" s="669"/>
      <c r="T372" s="438"/>
      <c r="U372" s="180"/>
      <c r="V372" s="155"/>
      <c r="W372" s="155"/>
      <c r="X372" s="155"/>
      <c r="Y372" s="155"/>
      <c r="Z372" s="155"/>
      <c r="AA372" s="155"/>
      <c r="AB372" s="155"/>
      <c r="AC372" s="155"/>
      <c r="AD372" s="155"/>
      <c r="AE372" s="155"/>
      <c r="AF372" s="155"/>
      <c r="AG372" s="155"/>
      <c r="AH372" s="155"/>
      <c r="AI372" s="155"/>
      <c r="AJ372" s="155"/>
      <c r="AK372" s="155"/>
      <c r="AL372" s="155"/>
      <c r="AM372" s="155"/>
      <c r="AN372" s="155"/>
      <c r="AO372" s="155"/>
      <c r="AP372" s="155"/>
      <c r="AQ372" s="155"/>
      <c r="AR372" s="155"/>
      <c r="AS372" s="155"/>
      <c r="AT372" s="155"/>
    </row>
    <row r="373" spans="1:46" customFormat="1" ht="33" x14ac:dyDescent="0.3">
      <c r="A373" s="687"/>
      <c r="B373" s="657"/>
      <c r="C373" s="369" t="s">
        <v>13</v>
      </c>
      <c r="D373" s="23" t="s">
        <v>214</v>
      </c>
      <c r="E373" s="371"/>
      <c r="F373" s="74"/>
      <c r="G373" s="107"/>
      <c r="H373" s="372"/>
      <c r="I373" s="372"/>
      <c r="J373" s="296" t="str">
        <f>C373</f>
        <v>II</v>
      </c>
      <c r="K373" s="23" t="str">
        <f>D373</f>
        <v>Обеспечение доступа к объектам спорта</v>
      </c>
      <c r="L373" s="369"/>
      <c r="M373" s="369"/>
      <c r="N373" s="375"/>
      <c r="O373" s="372"/>
      <c r="P373" s="372"/>
      <c r="Q373" s="372"/>
      <c r="R373" s="359"/>
      <c r="S373" s="669"/>
      <c r="T373" s="438"/>
      <c r="U373" s="180"/>
      <c r="V373" s="155"/>
      <c r="W373" s="155"/>
      <c r="X373" s="155"/>
      <c r="Y373" s="155"/>
      <c r="Z373" s="155"/>
      <c r="AA373" s="155"/>
      <c r="AB373" s="155"/>
      <c r="AC373" s="155"/>
      <c r="AD373" s="155"/>
      <c r="AE373" s="155"/>
      <c r="AF373" s="155"/>
      <c r="AG373" s="155"/>
      <c r="AH373" s="155"/>
      <c r="AI373" s="155"/>
      <c r="AJ373" s="155"/>
      <c r="AK373" s="155"/>
      <c r="AL373" s="155"/>
      <c r="AM373" s="155"/>
      <c r="AN373" s="155"/>
      <c r="AO373" s="155"/>
      <c r="AP373" s="155"/>
      <c r="AQ373" s="155"/>
      <c r="AR373" s="155"/>
      <c r="AS373" s="155"/>
      <c r="AT373" s="155"/>
    </row>
    <row r="374" spans="1:46" customFormat="1" ht="18.75" customHeight="1" x14ac:dyDescent="0.3">
      <c r="A374" s="687"/>
      <c r="B374" s="657"/>
      <c r="C374" s="371" t="s">
        <v>14</v>
      </c>
      <c r="D374" s="377" t="s">
        <v>51</v>
      </c>
      <c r="E374" s="371" t="s">
        <v>41</v>
      </c>
      <c r="F374" s="74">
        <v>3</v>
      </c>
      <c r="G374" s="74">
        <v>0</v>
      </c>
      <c r="H374" s="24">
        <v>100</v>
      </c>
      <c r="I374" s="372"/>
      <c r="J374" s="418" t="str">
        <f>C374</f>
        <v>2.1.</v>
      </c>
      <c r="K374" s="377" t="s">
        <v>309</v>
      </c>
      <c r="L374" s="371" t="s">
        <v>36</v>
      </c>
      <c r="M374" s="371">
        <v>24</v>
      </c>
      <c r="N374" s="75">
        <v>24</v>
      </c>
      <c r="O374" s="24">
        <f t="shared" si="53"/>
        <v>100</v>
      </c>
      <c r="P374" s="307"/>
      <c r="Q374" s="372"/>
      <c r="R374" s="359"/>
      <c r="S374" s="669"/>
      <c r="T374" s="438"/>
      <c r="U374" s="180"/>
      <c r="V374" s="155"/>
      <c r="W374" s="155"/>
      <c r="X374" s="155"/>
      <c r="Y374" s="155"/>
      <c r="Z374" s="155"/>
      <c r="AA374" s="155"/>
      <c r="AB374" s="155"/>
      <c r="AC374" s="155"/>
      <c r="AD374" s="155"/>
      <c r="AE374" s="155"/>
      <c r="AF374" s="155"/>
      <c r="AG374" s="155"/>
      <c r="AH374" s="155"/>
      <c r="AI374" s="155"/>
      <c r="AJ374" s="155"/>
      <c r="AK374" s="155"/>
      <c r="AL374" s="155"/>
      <c r="AM374" s="155"/>
      <c r="AN374" s="155"/>
      <c r="AO374" s="155"/>
      <c r="AP374" s="155"/>
      <c r="AQ374" s="155"/>
      <c r="AR374" s="155"/>
      <c r="AS374" s="155"/>
      <c r="AT374" s="155"/>
    </row>
    <row r="375" spans="1:46" customFormat="1" ht="102.75" customHeight="1" x14ac:dyDescent="0.3">
      <c r="A375" s="687"/>
      <c r="B375" s="657"/>
      <c r="C375" s="371" t="s">
        <v>15</v>
      </c>
      <c r="D375" s="377" t="s">
        <v>550</v>
      </c>
      <c r="E375" s="371" t="s">
        <v>25</v>
      </c>
      <c r="F375" s="74">
        <v>100</v>
      </c>
      <c r="G375" s="24">
        <v>100</v>
      </c>
      <c r="H375" s="24">
        <f>IF(G375/F375*100&gt;100,100,G375/F375*100)</f>
        <v>100</v>
      </c>
      <c r="I375" s="372"/>
      <c r="J375" s="418"/>
      <c r="K375" s="377"/>
      <c r="L375" s="371"/>
      <c r="M375" s="371"/>
      <c r="N375" s="267"/>
      <c r="O375" s="24"/>
      <c r="P375" s="307"/>
      <c r="Q375" s="372"/>
      <c r="R375" s="359"/>
      <c r="S375" s="669"/>
      <c r="T375" s="438"/>
      <c r="U375" s="180"/>
      <c r="V375" s="155"/>
      <c r="W375" s="155"/>
      <c r="X375" s="155"/>
      <c r="Y375" s="155"/>
      <c r="Z375" s="155"/>
      <c r="AA375" s="155"/>
      <c r="AB375" s="155"/>
      <c r="AC375" s="155"/>
      <c r="AD375" s="155"/>
      <c r="AE375" s="155"/>
      <c r="AF375" s="155"/>
      <c r="AG375" s="155"/>
      <c r="AH375" s="155"/>
      <c r="AI375" s="155"/>
      <c r="AJ375" s="155"/>
      <c r="AK375" s="155"/>
      <c r="AL375" s="155"/>
      <c r="AM375" s="155"/>
      <c r="AN375" s="155"/>
      <c r="AO375" s="155"/>
      <c r="AP375" s="155"/>
      <c r="AQ375" s="155"/>
      <c r="AR375" s="155"/>
      <c r="AS375" s="155"/>
      <c r="AT375" s="155"/>
    </row>
    <row r="376" spans="1:46" customFormat="1" ht="82.5" x14ac:dyDescent="0.3">
      <c r="A376" s="687"/>
      <c r="B376" s="657"/>
      <c r="C376" s="371" t="s">
        <v>39</v>
      </c>
      <c r="D376" s="377" t="s">
        <v>311</v>
      </c>
      <c r="E376" s="371" t="s">
        <v>25</v>
      </c>
      <c r="F376" s="74">
        <v>95</v>
      </c>
      <c r="G376" s="107">
        <v>95</v>
      </c>
      <c r="H376" s="24">
        <f>IF(G376/F376*100&gt;100,100,G376/F376*100)</f>
        <v>100</v>
      </c>
      <c r="I376" s="372"/>
      <c r="J376" s="296"/>
      <c r="K376" s="377"/>
      <c r="L376" s="371"/>
      <c r="M376" s="371"/>
      <c r="N376" s="75"/>
      <c r="O376" s="24"/>
      <c r="P376" s="307"/>
      <c r="Q376" s="372"/>
      <c r="R376" s="359"/>
      <c r="S376" s="669"/>
      <c r="T376" s="438"/>
      <c r="U376" s="180"/>
      <c r="V376" s="155"/>
      <c r="W376" s="155"/>
      <c r="X376" s="155"/>
      <c r="Y376" s="155"/>
      <c r="Z376" s="155"/>
      <c r="AA376" s="155"/>
      <c r="AB376" s="155"/>
      <c r="AC376" s="155"/>
      <c r="AD376" s="155"/>
      <c r="AE376" s="155"/>
      <c r="AF376" s="155"/>
      <c r="AG376" s="155"/>
      <c r="AH376" s="155"/>
      <c r="AI376" s="155"/>
      <c r="AJ376" s="155"/>
      <c r="AK376" s="155"/>
      <c r="AL376" s="155"/>
      <c r="AM376" s="155"/>
      <c r="AN376" s="155"/>
      <c r="AO376" s="155"/>
      <c r="AP376" s="155"/>
      <c r="AQ376" s="155"/>
      <c r="AR376" s="155"/>
      <c r="AS376" s="155"/>
      <c r="AT376" s="155"/>
    </row>
    <row r="377" spans="1:46" s="102" customFormat="1" ht="33" x14ac:dyDescent="0.3">
      <c r="A377" s="688"/>
      <c r="B377" s="658"/>
      <c r="C377" s="30"/>
      <c r="D377" s="21" t="s">
        <v>6</v>
      </c>
      <c r="E377" s="30"/>
      <c r="F377" s="100"/>
      <c r="G377" s="172"/>
      <c r="H377" s="7"/>
      <c r="I377" s="7">
        <f>(H374+H375+H376)/3</f>
        <v>100</v>
      </c>
      <c r="J377" s="384"/>
      <c r="K377" s="21" t="s">
        <v>6</v>
      </c>
      <c r="L377" s="30"/>
      <c r="M377" s="172"/>
      <c r="N377" s="172"/>
      <c r="O377" s="7"/>
      <c r="P377" s="7">
        <f>O374</f>
        <v>100</v>
      </c>
      <c r="Q377" s="7">
        <f t="shared" si="54"/>
        <v>100</v>
      </c>
      <c r="R377" s="176" t="s">
        <v>31</v>
      </c>
      <c r="S377" s="689"/>
      <c r="T377" s="438"/>
      <c r="U377" s="180"/>
      <c r="V377" s="155"/>
      <c r="W377" s="155"/>
      <c r="X377" s="155"/>
      <c r="Y377" s="155"/>
      <c r="Z377" s="155"/>
      <c r="AA377" s="155"/>
      <c r="AB377" s="155"/>
      <c r="AC377" s="155"/>
      <c r="AD377" s="155"/>
      <c r="AE377" s="155"/>
      <c r="AF377" s="155"/>
      <c r="AG377" s="155"/>
      <c r="AH377" s="155"/>
      <c r="AI377" s="155"/>
      <c r="AJ377" s="155"/>
      <c r="AK377" s="155"/>
      <c r="AL377" s="155"/>
      <c r="AM377" s="155"/>
      <c r="AN377" s="155"/>
      <c r="AO377" s="155"/>
      <c r="AP377" s="155"/>
      <c r="AQ377" s="155"/>
      <c r="AR377" s="155"/>
      <c r="AS377" s="155"/>
      <c r="AT377" s="155"/>
    </row>
    <row r="378" spans="1:46" customFormat="1" ht="49.5" customHeight="1" x14ac:dyDescent="0.3">
      <c r="A378" s="693" t="s">
        <v>85</v>
      </c>
      <c r="B378" s="656" t="s">
        <v>490</v>
      </c>
      <c r="C378" s="369" t="s">
        <v>12</v>
      </c>
      <c r="D378" s="23" t="s">
        <v>511</v>
      </c>
      <c r="E378" s="369"/>
      <c r="F378" s="76"/>
      <c r="G378" s="80"/>
      <c r="H378" s="372"/>
      <c r="I378" s="372"/>
      <c r="J378" s="296" t="s">
        <v>12</v>
      </c>
      <c r="K378" s="23" t="str">
        <f>D378</f>
        <v>Организация физкультурно-спортивной работы по месту жительства граждан</v>
      </c>
      <c r="L378" s="369"/>
      <c r="M378" s="369"/>
      <c r="N378" s="369"/>
      <c r="O378" s="372"/>
      <c r="P378" s="372"/>
      <c r="Q378" s="372"/>
      <c r="R378" s="359"/>
      <c r="S378" s="668" t="s">
        <v>279</v>
      </c>
      <c r="T378" s="438"/>
      <c r="U378" s="180"/>
      <c r="V378" s="155"/>
      <c r="W378" s="155"/>
      <c r="X378" s="155"/>
      <c r="Y378" s="155"/>
      <c r="Z378" s="155"/>
      <c r="AA378" s="155"/>
      <c r="AB378" s="155"/>
      <c r="AC378" s="155"/>
      <c r="AD378" s="155"/>
      <c r="AE378" s="155"/>
      <c r="AF378" s="155"/>
      <c r="AG378" s="155"/>
      <c r="AH378" s="155"/>
      <c r="AI378" s="155"/>
      <c r="AJ378" s="155"/>
      <c r="AK378" s="155"/>
      <c r="AL378" s="155"/>
      <c r="AM378" s="155"/>
      <c r="AN378" s="155"/>
      <c r="AO378" s="155"/>
      <c r="AP378" s="155"/>
      <c r="AQ378" s="155"/>
      <c r="AR378" s="155"/>
      <c r="AS378" s="155"/>
      <c r="AT378" s="155"/>
    </row>
    <row r="379" spans="1:46" customFormat="1" ht="18.75" customHeight="1" x14ac:dyDescent="0.3">
      <c r="A379" s="687"/>
      <c r="B379" s="657"/>
      <c r="C379" s="77" t="s">
        <v>7</v>
      </c>
      <c r="D379" s="377" t="s">
        <v>51</v>
      </c>
      <c r="E379" s="371" t="s">
        <v>41</v>
      </c>
      <c r="F379" s="74">
        <v>3</v>
      </c>
      <c r="G379" s="74">
        <v>0</v>
      </c>
      <c r="H379" s="24">
        <v>100</v>
      </c>
      <c r="I379" s="372"/>
      <c r="J379" s="418" t="s">
        <v>7</v>
      </c>
      <c r="K379" s="377" t="s">
        <v>219</v>
      </c>
      <c r="L379" s="371" t="s">
        <v>36</v>
      </c>
      <c r="M379" s="371">
        <v>3174</v>
      </c>
      <c r="N379" s="371">
        <v>3174</v>
      </c>
      <c r="O379" s="24">
        <f t="shared" si="53"/>
        <v>100</v>
      </c>
      <c r="P379" s="369"/>
      <c r="Q379" s="372"/>
      <c r="R379" s="359"/>
      <c r="S379" s="669"/>
      <c r="T379" s="438"/>
      <c r="U379" s="180"/>
      <c r="V379" s="155"/>
      <c r="W379" s="155"/>
      <c r="X379" s="155"/>
      <c r="Y379" s="155"/>
      <c r="Z379" s="155"/>
      <c r="AA379" s="155"/>
      <c r="AB379" s="155"/>
      <c r="AC379" s="155"/>
      <c r="AD379" s="155"/>
      <c r="AE379" s="155"/>
      <c r="AF379" s="155"/>
      <c r="AG379" s="155"/>
      <c r="AH379" s="155"/>
      <c r="AI379" s="155"/>
      <c r="AJ379" s="155"/>
      <c r="AK379" s="155"/>
      <c r="AL379" s="155"/>
      <c r="AM379" s="155"/>
      <c r="AN379" s="155"/>
      <c r="AO379" s="155"/>
      <c r="AP379" s="155"/>
      <c r="AQ379" s="155"/>
      <c r="AR379" s="155"/>
      <c r="AS379" s="155"/>
      <c r="AT379" s="155"/>
    </row>
    <row r="380" spans="1:46" s="16" customFormat="1" ht="33" x14ac:dyDescent="0.3">
      <c r="A380" s="687"/>
      <c r="B380" s="657"/>
      <c r="C380" s="171"/>
      <c r="D380" s="21" t="s">
        <v>6</v>
      </c>
      <c r="E380" s="30"/>
      <c r="F380" s="100"/>
      <c r="G380" s="103"/>
      <c r="H380" s="7"/>
      <c r="I380" s="7">
        <f>H379</f>
        <v>100</v>
      </c>
      <c r="J380" s="384"/>
      <c r="K380" s="21" t="s">
        <v>6</v>
      </c>
      <c r="L380" s="30"/>
      <c r="M380" s="101"/>
      <c r="N380" s="101"/>
      <c r="O380" s="7"/>
      <c r="P380" s="7">
        <f>O379</f>
        <v>100</v>
      </c>
      <c r="Q380" s="7">
        <f>(I380+P380)/2</f>
        <v>100</v>
      </c>
      <c r="R380" s="176" t="s">
        <v>31</v>
      </c>
      <c r="S380" s="669"/>
      <c r="T380" s="438"/>
      <c r="U380" s="180"/>
      <c r="V380" s="155"/>
      <c r="W380" s="155"/>
      <c r="X380" s="155"/>
      <c r="Y380" s="155"/>
      <c r="Z380" s="155"/>
      <c r="AA380" s="155"/>
      <c r="AB380" s="155"/>
      <c r="AC380" s="155"/>
      <c r="AD380" s="155"/>
      <c r="AE380" s="155"/>
      <c r="AF380" s="155"/>
      <c r="AG380" s="155"/>
      <c r="AH380" s="155"/>
      <c r="AI380" s="155"/>
      <c r="AJ380" s="155"/>
      <c r="AK380" s="155"/>
      <c r="AL380" s="155"/>
      <c r="AM380" s="155"/>
      <c r="AN380" s="155"/>
      <c r="AO380" s="155"/>
      <c r="AP380" s="155"/>
      <c r="AQ380" s="155"/>
      <c r="AR380" s="155"/>
      <c r="AS380" s="155"/>
      <c r="AT380" s="155"/>
    </row>
    <row r="381" spans="1:46" customFormat="1" ht="33" x14ac:dyDescent="0.3">
      <c r="A381" s="687"/>
      <c r="B381" s="657"/>
      <c r="C381" s="369" t="s">
        <v>13</v>
      </c>
      <c r="D381" s="23" t="s">
        <v>214</v>
      </c>
      <c r="E381" s="371"/>
      <c r="F381" s="74"/>
      <c r="G381" s="107"/>
      <c r="H381" s="372"/>
      <c r="I381" s="372"/>
      <c r="J381" s="296" t="str">
        <f>C381</f>
        <v>II</v>
      </c>
      <c r="K381" s="23" t="str">
        <f>D381</f>
        <v>Обеспечение доступа к объектам спорта</v>
      </c>
      <c r="L381" s="369"/>
      <c r="M381" s="369"/>
      <c r="N381" s="375"/>
      <c r="O381" s="372"/>
      <c r="P381" s="372"/>
      <c r="Q381" s="372"/>
      <c r="R381" s="359"/>
      <c r="S381" s="669"/>
      <c r="T381" s="438"/>
      <c r="U381" s="180"/>
      <c r="V381" s="155"/>
      <c r="W381" s="155"/>
      <c r="X381" s="155"/>
      <c r="Y381" s="155"/>
      <c r="Z381" s="155"/>
      <c r="AA381" s="155"/>
      <c r="AB381" s="155"/>
      <c r="AC381" s="155"/>
      <c r="AD381" s="155"/>
      <c r="AE381" s="155"/>
      <c r="AF381" s="155"/>
      <c r="AG381" s="155"/>
      <c r="AH381" s="155"/>
      <c r="AI381" s="155"/>
      <c r="AJ381" s="155"/>
      <c r="AK381" s="155"/>
      <c r="AL381" s="155"/>
      <c r="AM381" s="155"/>
      <c r="AN381" s="155"/>
      <c r="AO381" s="155"/>
      <c r="AP381" s="155"/>
      <c r="AQ381" s="155"/>
      <c r="AR381" s="155"/>
      <c r="AS381" s="155"/>
      <c r="AT381" s="155"/>
    </row>
    <row r="382" spans="1:46" customFormat="1" ht="18.75" customHeight="1" x14ac:dyDescent="0.3">
      <c r="A382" s="687"/>
      <c r="B382" s="657"/>
      <c r="C382" s="371" t="s">
        <v>14</v>
      </c>
      <c r="D382" s="377" t="s">
        <v>51</v>
      </c>
      <c r="E382" s="371" t="s">
        <v>41</v>
      </c>
      <c r="F382" s="74">
        <v>3</v>
      </c>
      <c r="G382" s="74">
        <v>0</v>
      </c>
      <c r="H382" s="24">
        <v>100</v>
      </c>
      <c r="I382" s="372"/>
      <c r="J382" s="418" t="str">
        <f>C382</f>
        <v>2.1.</v>
      </c>
      <c r="K382" s="377" t="s">
        <v>309</v>
      </c>
      <c r="L382" s="371" t="s">
        <v>36</v>
      </c>
      <c r="M382" s="371">
        <v>44</v>
      </c>
      <c r="N382" s="75">
        <v>44</v>
      </c>
      <c r="O382" s="24">
        <f t="shared" si="53"/>
        <v>100</v>
      </c>
      <c r="P382" s="307"/>
      <c r="Q382" s="372"/>
      <c r="R382" s="359"/>
      <c r="S382" s="669"/>
      <c r="T382" s="438"/>
      <c r="U382" s="180"/>
      <c r="V382" s="155"/>
      <c r="W382" s="155"/>
      <c r="X382" s="155"/>
      <c r="Y382" s="155"/>
      <c r="Z382" s="155"/>
      <c r="AA382" s="155"/>
      <c r="AB382" s="155"/>
      <c r="AC382" s="155"/>
      <c r="AD382" s="155"/>
      <c r="AE382" s="155"/>
      <c r="AF382" s="155"/>
      <c r="AG382" s="155"/>
      <c r="AH382" s="155"/>
      <c r="AI382" s="155"/>
      <c r="AJ382" s="155"/>
      <c r="AK382" s="155"/>
      <c r="AL382" s="155"/>
      <c r="AM382" s="155"/>
      <c r="AN382" s="155"/>
      <c r="AO382" s="155"/>
      <c r="AP382" s="155"/>
      <c r="AQ382" s="155"/>
      <c r="AR382" s="155"/>
      <c r="AS382" s="155"/>
      <c r="AT382" s="155"/>
    </row>
    <row r="383" spans="1:46" customFormat="1" ht="105.75" customHeight="1" x14ac:dyDescent="0.3">
      <c r="A383" s="687"/>
      <c r="B383" s="657"/>
      <c r="C383" s="371" t="s">
        <v>15</v>
      </c>
      <c r="D383" s="377" t="s">
        <v>550</v>
      </c>
      <c r="E383" s="371" t="s">
        <v>25</v>
      </c>
      <c r="F383" s="74">
        <v>98</v>
      </c>
      <c r="G383" s="168">
        <v>98</v>
      </c>
      <c r="H383" s="168">
        <f>IF(G383/F383*100&gt;100,100,G383/F383*100)</f>
        <v>100</v>
      </c>
      <c r="I383" s="372"/>
      <c r="J383" s="296"/>
      <c r="K383" s="377"/>
      <c r="L383" s="371"/>
      <c r="M383" s="371"/>
      <c r="N383" s="75"/>
      <c r="O383" s="24"/>
      <c r="P383" s="307"/>
      <c r="Q383" s="372"/>
      <c r="R383" s="359"/>
      <c r="S383" s="669"/>
      <c r="T383" s="438"/>
      <c r="U383" s="180"/>
      <c r="V383" s="155"/>
      <c r="W383" s="155"/>
      <c r="X383" s="155"/>
      <c r="Y383" s="155"/>
      <c r="Z383" s="155"/>
      <c r="AA383" s="155"/>
      <c r="AB383" s="155"/>
      <c r="AC383" s="155"/>
      <c r="AD383" s="155"/>
      <c r="AE383" s="155"/>
      <c r="AF383" s="155"/>
      <c r="AG383" s="155"/>
      <c r="AH383" s="155"/>
      <c r="AI383" s="155"/>
      <c r="AJ383" s="155"/>
      <c r="AK383" s="155"/>
      <c r="AL383" s="155"/>
      <c r="AM383" s="155"/>
      <c r="AN383" s="155"/>
      <c r="AO383" s="155"/>
      <c r="AP383" s="155"/>
      <c r="AQ383" s="155"/>
      <c r="AR383" s="155"/>
      <c r="AS383" s="155"/>
      <c r="AT383" s="155"/>
    </row>
    <row r="384" spans="1:46" customFormat="1" ht="82.5" x14ac:dyDescent="0.3">
      <c r="A384" s="687"/>
      <c r="B384" s="657"/>
      <c r="C384" s="371" t="s">
        <v>39</v>
      </c>
      <c r="D384" s="377" t="s">
        <v>311</v>
      </c>
      <c r="E384" s="371" t="s">
        <v>25</v>
      </c>
      <c r="F384" s="74">
        <v>95</v>
      </c>
      <c r="G384" s="168">
        <v>95</v>
      </c>
      <c r="H384" s="168">
        <f>IF(G384/F384*100&gt;100,100,G384/F384*100)</f>
        <v>100</v>
      </c>
      <c r="I384" s="372"/>
      <c r="J384" s="296"/>
      <c r="K384" s="377"/>
      <c r="L384" s="371"/>
      <c r="M384" s="371"/>
      <c r="N384" s="75"/>
      <c r="O384" s="24"/>
      <c r="P384" s="307"/>
      <c r="Q384" s="372"/>
      <c r="R384" s="359"/>
      <c r="S384" s="669"/>
      <c r="T384" s="438"/>
      <c r="U384" s="180"/>
      <c r="V384" s="155"/>
      <c r="W384" s="155"/>
      <c r="X384" s="155"/>
      <c r="Y384" s="155"/>
      <c r="Z384" s="155"/>
      <c r="AA384" s="155"/>
      <c r="AB384" s="155"/>
      <c r="AC384" s="155"/>
      <c r="AD384" s="155"/>
      <c r="AE384" s="155"/>
      <c r="AF384" s="155"/>
      <c r="AG384" s="155"/>
      <c r="AH384" s="155"/>
      <c r="AI384" s="155"/>
      <c r="AJ384" s="155"/>
      <c r="AK384" s="155"/>
      <c r="AL384" s="155"/>
      <c r="AM384" s="155"/>
      <c r="AN384" s="155"/>
      <c r="AO384" s="155"/>
      <c r="AP384" s="155"/>
      <c r="AQ384" s="155"/>
      <c r="AR384" s="155"/>
      <c r="AS384" s="155"/>
      <c r="AT384" s="155"/>
    </row>
    <row r="385" spans="1:46" s="102" customFormat="1" ht="33" x14ac:dyDescent="0.3">
      <c r="A385" s="687"/>
      <c r="B385" s="657"/>
      <c r="C385" s="30"/>
      <c r="D385" s="21" t="s">
        <v>6</v>
      </c>
      <c r="E385" s="30"/>
      <c r="F385" s="105"/>
      <c r="G385" s="106"/>
      <c r="H385" s="7"/>
      <c r="I385" s="7">
        <f>(H382+H383+H384)/3</f>
        <v>100</v>
      </c>
      <c r="J385" s="380"/>
      <c r="K385" s="21" t="s">
        <v>6</v>
      </c>
      <c r="L385" s="355"/>
      <c r="M385" s="355"/>
      <c r="N385" s="355"/>
      <c r="O385" s="7"/>
      <c r="P385" s="7">
        <f>O382</f>
        <v>100</v>
      </c>
      <c r="Q385" s="7">
        <f t="shared" si="54"/>
        <v>100</v>
      </c>
      <c r="R385" s="176" t="s">
        <v>31</v>
      </c>
      <c r="S385" s="669"/>
      <c r="T385" s="438"/>
      <c r="U385" s="180"/>
      <c r="V385" s="155"/>
      <c r="W385" s="155"/>
      <c r="X385" s="155"/>
      <c r="Y385" s="155"/>
      <c r="Z385" s="155"/>
      <c r="AA385" s="155"/>
      <c r="AB385" s="155"/>
      <c r="AC385" s="155"/>
      <c r="AD385" s="155"/>
      <c r="AE385" s="155"/>
      <c r="AF385" s="155"/>
      <c r="AG385" s="155"/>
      <c r="AH385" s="155"/>
      <c r="AI385" s="155"/>
      <c r="AJ385" s="155"/>
      <c r="AK385" s="155"/>
      <c r="AL385" s="155"/>
      <c r="AM385" s="155"/>
      <c r="AN385" s="155"/>
      <c r="AO385" s="155"/>
      <c r="AP385" s="155"/>
      <c r="AQ385" s="155"/>
      <c r="AR385" s="155"/>
      <c r="AS385" s="155"/>
      <c r="AT385" s="155"/>
    </row>
    <row r="386" spans="1:46" s="102" customFormat="1" ht="49.5" x14ac:dyDescent="0.3">
      <c r="A386" s="687"/>
      <c r="B386" s="657"/>
      <c r="C386" s="357" t="s">
        <v>28</v>
      </c>
      <c r="D386" s="22" t="s">
        <v>218</v>
      </c>
      <c r="E386" s="357"/>
      <c r="F386" s="203"/>
      <c r="G386" s="37"/>
      <c r="H386" s="353"/>
      <c r="I386" s="353"/>
      <c r="J386" s="58"/>
      <c r="K386" s="22" t="str">
        <f>D386</f>
        <v>Организация и проведение официальных спортивных мероприятий</v>
      </c>
      <c r="L386" s="354"/>
      <c r="M386" s="357"/>
      <c r="N386" s="357"/>
      <c r="O386" s="358"/>
      <c r="P386" s="353"/>
      <c r="Q386" s="353"/>
      <c r="R386" s="359"/>
      <c r="S386" s="669"/>
      <c r="T386" s="438"/>
      <c r="U386" s="180"/>
      <c r="V386" s="155"/>
      <c r="W386" s="155"/>
      <c r="X386" s="155"/>
      <c r="Y386" s="155"/>
      <c r="Z386" s="155"/>
      <c r="AA386" s="155"/>
      <c r="AB386" s="155"/>
      <c r="AC386" s="155"/>
      <c r="AD386" s="155"/>
      <c r="AE386" s="155"/>
      <c r="AF386" s="155"/>
      <c r="AG386" s="155"/>
      <c r="AH386" s="155"/>
      <c r="AI386" s="155"/>
      <c r="AJ386" s="155"/>
      <c r="AK386" s="155"/>
      <c r="AL386" s="155"/>
      <c r="AM386" s="155"/>
      <c r="AN386" s="155"/>
      <c r="AO386" s="155"/>
      <c r="AP386" s="155"/>
      <c r="AQ386" s="155"/>
      <c r="AR386" s="155"/>
      <c r="AS386" s="155"/>
      <c r="AT386" s="155"/>
    </row>
    <row r="387" spans="1:46" s="102" customFormat="1" ht="18.75" customHeight="1" x14ac:dyDescent="0.3">
      <c r="A387" s="687"/>
      <c r="B387" s="657"/>
      <c r="C387" s="357" t="s">
        <v>29</v>
      </c>
      <c r="D387" s="361" t="s">
        <v>216</v>
      </c>
      <c r="E387" s="371" t="s">
        <v>38</v>
      </c>
      <c r="F387" s="74">
        <v>200</v>
      </c>
      <c r="G387" s="74">
        <v>481</v>
      </c>
      <c r="H387" s="24">
        <f>IF(G387/F387*100&gt;100,100,G387/F387*100)</f>
        <v>100</v>
      </c>
      <c r="I387" s="353"/>
      <c r="J387" s="58" t="str">
        <f>C387</f>
        <v>3.1.</v>
      </c>
      <c r="K387" s="361" t="s">
        <v>40</v>
      </c>
      <c r="L387" s="357" t="s">
        <v>36</v>
      </c>
      <c r="M387" s="357">
        <v>4</v>
      </c>
      <c r="N387" s="357">
        <v>4</v>
      </c>
      <c r="O387" s="358">
        <f t="shared" si="53"/>
        <v>100</v>
      </c>
      <c r="P387" s="353"/>
      <c r="Q387" s="353"/>
      <c r="R387" s="359"/>
      <c r="S387" s="669"/>
      <c r="T387" s="438"/>
      <c r="U387" s="180"/>
      <c r="V387" s="155"/>
      <c r="W387" s="155"/>
      <c r="X387" s="155"/>
      <c r="Y387" s="155"/>
      <c r="Z387" s="155"/>
      <c r="AA387" s="155"/>
      <c r="AB387" s="155"/>
      <c r="AC387" s="155"/>
      <c r="AD387" s="155"/>
      <c r="AE387" s="155"/>
      <c r="AF387" s="155"/>
      <c r="AG387" s="155"/>
      <c r="AH387" s="155"/>
      <c r="AI387" s="155"/>
      <c r="AJ387" s="155"/>
      <c r="AK387" s="155"/>
      <c r="AL387" s="155"/>
      <c r="AM387" s="155"/>
      <c r="AN387" s="155"/>
      <c r="AO387" s="155"/>
      <c r="AP387" s="155"/>
      <c r="AQ387" s="155"/>
      <c r="AR387" s="155"/>
      <c r="AS387" s="155"/>
      <c r="AT387" s="155"/>
    </row>
    <row r="388" spans="1:46" s="102" customFormat="1" x14ac:dyDescent="0.3">
      <c r="A388" s="687"/>
      <c r="B388" s="657"/>
      <c r="C388" s="357" t="s">
        <v>30</v>
      </c>
      <c r="D388" s="361" t="s">
        <v>577</v>
      </c>
      <c r="E388" s="371" t="s">
        <v>41</v>
      </c>
      <c r="F388" s="74">
        <v>3</v>
      </c>
      <c r="G388" s="374">
        <v>0</v>
      </c>
      <c r="H388" s="24">
        <v>100</v>
      </c>
      <c r="I388" s="353"/>
      <c r="J388" s="58"/>
      <c r="K388" s="22"/>
      <c r="L388" s="354"/>
      <c r="M388" s="354"/>
      <c r="N388" s="354"/>
      <c r="O388" s="353"/>
      <c r="P388" s="353"/>
      <c r="Q388" s="353"/>
      <c r="R388" s="359"/>
      <c r="S388" s="669"/>
      <c r="T388" s="438"/>
      <c r="U388" s="180"/>
      <c r="V388" s="155"/>
      <c r="W388" s="155"/>
      <c r="X388" s="155"/>
      <c r="Y388" s="155"/>
      <c r="Z388" s="155"/>
      <c r="AA388" s="155"/>
      <c r="AB388" s="155"/>
      <c r="AC388" s="155"/>
      <c r="AD388" s="155"/>
      <c r="AE388" s="155"/>
      <c r="AF388" s="155"/>
      <c r="AG388" s="155"/>
      <c r="AH388" s="155"/>
      <c r="AI388" s="155"/>
      <c r="AJ388" s="155"/>
      <c r="AK388" s="155"/>
      <c r="AL388" s="155"/>
      <c r="AM388" s="155"/>
      <c r="AN388" s="155"/>
      <c r="AO388" s="155"/>
      <c r="AP388" s="155"/>
      <c r="AQ388" s="155"/>
      <c r="AR388" s="155"/>
      <c r="AS388" s="155"/>
      <c r="AT388" s="155"/>
    </row>
    <row r="389" spans="1:46" s="16" customFormat="1" ht="33" x14ac:dyDescent="0.3">
      <c r="A389" s="688"/>
      <c r="B389" s="658"/>
      <c r="C389" s="171"/>
      <c r="D389" s="21" t="s">
        <v>6</v>
      </c>
      <c r="E389" s="30"/>
      <c r="F389" s="100"/>
      <c r="G389" s="103"/>
      <c r="H389" s="7"/>
      <c r="I389" s="7">
        <f>(H387+H388)/2</f>
        <v>100</v>
      </c>
      <c r="J389" s="384"/>
      <c r="K389" s="21" t="s">
        <v>6</v>
      </c>
      <c r="L389" s="30"/>
      <c r="M389" s="101"/>
      <c r="N389" s="101"/>
      <c r="O389" s="7"/>
      <c r="P389" s="7">
        <f>O387</f>
        <v>100</v>
      </c>
      <c r="Q389" s="7">
        <f>(I389+P389)/2</f>
        <v>100</v>
      </c>
      <c r="R389" s="176" t="s">
        <v>31</v>
      </c>
      <c r="S389" s="689"/>
      <c r="T389" s="438"/>
      <c r="U389" s="180"/>
      <c r="V389" s="155"/>
      <c r="W389" s="155"/>
      <c r="X389" s="155"/>
      <c r="Y389" s="155"/>
      <c r="Z389" s="155"/>
      <c r="AA389" s="155"/>
      <c r="AB389" s="155"/>
      <c r="AC389" s="155"/>
      <c r="AD389" s="155"/>
      <c r="AE389" s="155"/>
      <c r="AF389" s="155"/>
      <c r="AG389" s="155"/>
      <c r="AH389" s="155"/>
      <c r="AI389" s="155"/>
      <c r="AJ389" s="155"/>
      <c r="AK389" s="155"/>
      <c r="AL389" s="155"/>
      <c r="AM389" s="155"/>
      <c r="AN389" s="155"/>
      <c r="AO389" s="155"/>
      <c r="AP389" s="155"/>
      <c r="AQ389" s="155"/>
      <c r="AR389" s="155"/>
      <c r="AS389" s="155"/>
      <c r="AT389" s="155"/>
    </row>
    <row r="390" spans="1:46" customFormat="1" ht="49.5" x14ac:dyDescent="0.3">
      <c r="A390" s="693" t="s">
        <v>86</v>
      </c>
      <c r="B390" s="656" t="s">
        <v>491</v>
      </c>
      <c r="C390" s="369" t="s">
        <v>12</v>
      </c>
      <c r="D390" s="23" t="s">
        <v>511</v>
      </c>
      <c r="E390" s="369"/>
      <c r="F390" s="76"/>
      <c r="G390" s="80"/>
      <c r="H390" s="372"/>
      <c r="I390" s="372"/>
      <c r="J390" s="296" t="s">
        <v>12</v>
      </c>
      <c r="K390" s="23" t="str">
        <f>D390</f>
        <v>Организация физкультурно-спортивной работы по месту жительства граждан</v>
      </c>
      <c r="L390" s="369"/>
      <c r="M390" s="369"/>
      <c r="N390" s="369"/>
      <c r="O390" s="372"/>
      <c r="P390" s="372"/>
      <c r="Q390" s="372"/>
      <c r="R390" s="359"/>
      <c r="S390" s="668" t="s">
        <v>279</v>
      </c>
      <c r="T390" s="438"/>
      <c r="U390" s="180"/>
      <c r="V390" s="155"/>
      <c r="W390" s="155"/>
      <c r="X390" s="155"/>
      <c r="Y390" s="155"/>
      <c r="Z390" s="155"/>
      <c r="AA390" s="155"/>
      <c r="AB390" s="155"/>
      <c r="AC390" s="155"/>
      <c r="AD390" s="155"/>
      <c r="AE390" s="155"/>
      <c r="AF390" s="155"/>
      <c r="AG390" s="155"/>
      <c r="AH390" s="155"/>
      <c r="AI390" s="155"/>
      <c r="AJ390" s="155"/>
      <c r="AK390" s="155"/>
      <c r="AL390" s="155"/>
      <c r="AM390" s="155"/>
      <c r="AN390" s="155"/>
      <c r="AO390" s="155"/>
      <c r="AP390" s="155"/>
      <c r="AQ390" s="155"/>
      <c r="AR390" s="155"/>
      <c r="AS390" s="155"/>
      <c r="AT390" s="155"/>
    </row>
    <row r="391" spans="1:46" customFormat="1" ht="18.75" customHeight="1" x14ac:dyDescent="0.3">
      <c r="A391" s="687"/>
      <c r="B391" s="657"/>
      <c r="C391" s="77" t="s">
        <v>7</v>
      </c>
      <c r="D391" s="377" t="s">
        <v>51</v>
      </c>
      <c r="E391" s="371" t="s">
        <v>41</v>
      </c>
      <c r="F391" s="74">
        <v>3</v>
      </c>
      <c r="G391" s="371">
        <v>0</v>
      </c>
      <c r="H391" s="24">
        <v>100</v>
      </c>
      <c r="I391" s="372"/>
      <c r="J391" s="418" t="s">
        <v>7</v>
      </c>
      <c r="K391" s="377" t="s">
        <v>219</v>
      </c>
      <c r="L391" s="371" t="s">
        <v>36</v>
      </c>
      <c r="M391" s="371">
        <v>420</v>
      </c>
      <c r="N391" s="371">
        <v>423</v>
      </c>
      <c r="O391" s="24">
        <f t="shared" si="53"/>
        <v>100.71428571428571</v>
      </c>
      <c r="P391" s="369"/>
      <c r="Q391" s="372"/>
      <c r="R391" s="359"/>
      <c r="S391" s="669"/>
      <c r="T391" s="438"/>
      <c r="U391" s="180"/>
      <c r="V391" s="155"/>
      <c r="W391" s="155"/>
      <c r="X391" s="155"/>
      <c r="Y391" s="155"/>
      <c r="Z391" s="155"/>
      <c r="AA391" s="155"/>
      <c r="AB391" s="155"/>
      <c r="AC391" s="155"/>
      <c r="AD391" s="155"/>
      <c r="AE391" s="155"/>
      <c r="AF391" s="155"/>
      <c r="AG391" s="155"/>
      <c r="AH391" s="155"/>
      <c r="AI391" s="155"/>
      <c r="AJ391" s="155"/>
      <c r="AK391" s="155"/>
      <c r="AL391" s="155"/>
      <c r="AM391" s="155"/>
      <c r="AN391" s="155"/>
      <c r="AO391" s="155"/>
      <c r="AP391" s="155"/>
      <c r="AQ391" s="155"/>
      <c r="AR391" s="155"/>
      <c r="AS391" s="155"/>
      <c r="AT391" s="155"/>
    </row>
    <row r="392" spans="1:46" s="16" customFormat="1" ht="33" x14ac:dyDescent="0.3">
      <c r="A392" s="687"/>
      <c r="B392" s="657"/>
      <c r="C392" s="171"/>
      <c r="D392" s="21" t="s">
        <v>6</v>
      </c>
      <c r="E392" s="30"/>
      <c r="F392" s="100"/>
      <c r="G392" s="103"/>
      <c r="H392" s="7"/>
      <c r="I392" s="7">
        <f>H391</f>
        <v>100</v>
      </c>
      <c r="J392" s="384"/>
      <c r="K392" s="21" t="s">
        <v>6</v>
      </c>
      <c r="L392" s="30"/>
      <c r="M392" s="101"/>
      <c r="N392" s="101"/>
      <c r="O392" s="7"/>
      <c r="P392" s="7">
        <f>O391</f>
        <v>100.71428571428571</v>
      </c>
      <c r="Q392" s="7">
        <f>(I392+P392)/2</f>
        <v>100.35714285714286</v>
      </c>
      <c r="R392" s="176" t="s">
        <v>31</v>
      </c>
      <c r="S392" s="669"/>
      <c r="T392" s="438"/>
      <c r="U392" s="180"/>
      <c r="V392" s="155"/>
      <c r="W392" s="155"/>
      <c r="X392" s="155"/>
      <c r="Y392" s="155"/>
      <c r="Z392" s="155"/>
      <c r="AA392" s="155"/>
      <c r="AB392" s="155"/>
      <c r="AC392" s="155"/>
      <c r="AD392" s="155"/>
      <c r="AE392" s="155"/>
      <c r="AF392" s="155"/>
      <c r="AG392" s="155"/>
      <c r="AH392" s="155"/>
      <c r="AI392" s="155"/>
      <c r="AJ392" s="155"/>
      <c r="AK392" s="155"/>
      <c r="AL392" s="155"/>
      <c r="AM392" s="155"/>
      <c r="AN392" s="155"/>
      <c r="AO392" s="155"/>
      <c r="AP392" s="155"/>
      <c r="AQ392" s="155"/>
      <c r="AR392" s="155"/>
      <c r="AS392" s="155"/>
      <c r="AT392" s="155"/>
    </row>
    <row r="393" spans="1:46" customFormat="1" ht="33" x14ac:dyDescent="0.3">
      <c r="A393" s="687"/>
      <c r="B393" s="657"/>
      <c r="C393" s="369" t="s">
        <v>13</v>
      </c>
      <c r="D393" s="23" t="s">
        <v>214</v>
      </c>
      <c r="E393" s="371"/>
      <c r="F393" s="74"/>
      <c r="G393" s="107"/>
      <c r="H393" s="372"/>
      <c r="I393" s="372"/>
      <c r="J393" s="296" t="str">
        <f>C393</f>
        <v>II</v>
      </c>
      <c r="K393" s="23" t="str">
        <f>D393</f>
        <v>Обеспечение доступа к объектам спорта</v>
      </c>
      <c r="L393" s="369"/>
      <c r="M393" s="369"/>
      <c r="N393" s="375"/>
      <c r="O393" s="372"/>
      <c r="P393" s="372"/>
      <c r="Q393" s="372"/>
      <c r="R393" s="359"/>
      <c r="S393" s="669"/>
      <c r="T393" s="438"/>
      <c r="U393" s="180"/>
      <c r="V393" s="155"/>
      <c r="W393" s="155"/>
      <c r="X393" s="155"/>
      <c r="Y393" s="155"/>
      <c r="Z393" s="155"/>
      <c r="AA393" s="155"/>
      <c r="AB393" s="155"/>
      <c r="AC393" s="155"/>
      <c r="AD393" s="155"/>
      <c r="AE393" s="155"/>
      <c r="AF393" s="155"/>
      <c r="AG393" s="155"/>
      <c r="AH393" s="155"/>
      <c r="AI393" s="155"/>
      <c r="AJ393" s="155"/>
      <c r="AK393" s="155"/>
      <c r="AL393" s="155"/>
      <c r="AM393" s="155"/>
      <c r="AN393" s="155"/>
      <c r="AO393" s="155"/>
      <c r="AP393" s="155"/>
      <c r="AQ393" s="155"/>
      <c r="AR393" s="155"/>
      <c r="AS393" s="155"/>
      <c r="AT393" s="155"/>
    </row>
    <row r="394" spans="1:46" customFormat="1" ht="18.75" customHeight="1" x14ac:dyDescent="0.3">
      <c r="A394" s="687"/>
      <c r="B394" s="657"/>
      <c r="C394" s="371" t="s">
        <v>14</v>
      </c>
      <c r="D394" s="377" t="s">
        <v>51</v>
      </c>
      <c r="E394" s="371" t="s">
        <v>41</v>
      </c>
      <c r="F394" s="74">
        <v>3</v>
      </c>
      <c r="G394" s="371">
        <v>0</v>
      </c>
      <c r="H394" s="24">
        <v>100</v>
      </c>
      <c r="I394" s="372"/>
      <c r="J394" s="418" t="str">
        <f>C394</f>
        <v>2.1.</v>
      </c>
      <c r="K394" s="377" t="s">
        <v>309</v>
      </c>
      <c r="L394" s="371" t="s">
        <v>36</v>
      </c>
      <c r="M394" s="371">
        <v>24</v>
      </c>
      <c r="N394" s="75">
        <v>24</v>
      </c>
      <c r="O394" s="24">
        <f t="shared" si="53"/>
        <v>100</v>
      </c>
      <c r="P394" s="307"/>
      <c r="Q394" s="372"/>
      <c r="R394" s="359"/>
      <c r="S394" s="669"/>
      <c r="T394" s="438"/>
      <c r="U394" s="180"/>
      <c r="V394" s="155"/>
      <c r="W394" s="155"/>
      <c r="X394" s="155"/>
      <c r="Y394" s="155"/>
      <c r="Z394" s="155"/>
      <c r="AA394" s="155"/>
      <c r="AB394" s="155"/>
      <c r="AC394" s="155"/>
      <c r="AD394" s="155"/>
      <c r="AE394" s="155"/>
      <c r="AF394" s="155"/>
      <c r="AG394" s="155"/>
      <c r="AH394" s="155"/>
      <c r="AI394" s="155"/>
      <c r="AJ394" s="155"/>
      <c r="AK394" s="155"/>
      <c r="AL394" s="155"/>
      <c r="AM394" s="155"/>
      <c r="AN394" s="155"/>
      <c r="AO394" s="155"/>
      <c r="AP394" s="155"/>
      <c r="AQ394" s="155"/>
      <c r="AR394" s="155"/>
      <c r="AS394" s="155"/>
      <c r="AT394" s="155"/>
    </row>
    <row r="395" spans="1:46" customFormat="1" ht="99" x14ac:dyDescent="0.3">
      <c r="A395" s="687"/>
      <c r="B395" s="657"/>
      <c r="C395" s="371" t="s">
        <v>15</v>
      </c>
      <c r="D395" s="377" t="s">
        <v>405</v>
      </c>
      <c r="E395" s="371" t="s">
        <v>25</v>
      </c>
      <c r="F395" s="74">
        <v>100</v>
      </c>
      <c r="G395" s="107">
        <v>100</v>
      </c>
      <c r="H395" s="24">
        <f>IF(G395/F395*100&gt;100,100,G395/F395*100)</f>
        <v>100</v>
      </c>
      <c r="I395" s="372"/>
      <c r="J395" s="296"/>
      <c r="K395" s="377"/>
      <c r="L395" s="371"/>
      <c r="M395" s="371"/>
      <c r="N395" s="75"/>
      <c r="O395" s="24"/>
      <c r="P395" s="307"/>
      <c r="Q395" s="372"/>
      <c r="R395" s="359"/>
      <c r="S395" s="669"/>
      <c r="T395" s="438"/>
      <c r="U395" s="180"/>
      <c r="V395" s="155"/>
      <c r="W395" s="155"/>
      <c r="X395" s="155"/>
      <c r="Y395" s="155"/>
      <c r="Z395" s="155"/>
      <c r="AA395" s="155"/>
      <c r="AB395" s="155"/>
      <c r="AC395" s="155"/>
      <c r="AD395" s="155"/>
      <c r="AE395" s="155"/>
      <c r="AF395" s="155"/>
      <c r="AG395" s="155"/>
      <c r="AH395" s="155"/>
      <c r="AI395" s="155"/>
      <c r="AJ395" s="155"/>
      <c r="AK395" s="155"/>
      <c r="AL395" s="155"/>
      <c r="AM395" s="155"/>
      <c r="AN395" s="155"/>
      <c r="AO395" s="155"/>
      <c r="AP395" s="155"/>
      <c r="AQ395" s="155"/>
      <c r="AR395" s="155"/>
      <c r="AS395" s="155"/>
      <c r="AT395" s="155"/>
    </row>
    <row r="396" spans="1:46" customFormat="1" ht="82.5" x14ac:dyDescent="0.3">
      <c r="A396" s="687"/>
      <c r="B396" s="657"/>
      <c r="C396" s="371" t="s">
        <v>39</v>
      </c>
      <c r="D396" s="377" t="s">
        <v>311</v>
      </c>
      <c r="E396" s="371" t="s">
        <v>25</v>
      </c>
      <c r="F396" s="74">
        <v>98</v>
      </c>
      <c r="G396" s="107">
        <v>98</v>
      </c>
      <c r="H396" s="24">
        <f>IF(G396/F396*100&gt;100,100,G396/F396*100)</f>
        <v>100</v>
      </c>
      <c r="I396" s="372"/>
      <c r="J396" s="296"/>
      <c r="K396" s="377"/>
      <c r="L396" s="371"/>
      <c r="M396" s="371"/>
      <c r="N396" s="75"/>
      <c r="O396" s="24"/>
      <c r="P396" s="307"/>
      <c r="Q396" s="372"/>
      <c r="R396" s="359"/>
      <c r="S396" s="669"/>
      <c r="T396" s="438"/>
      <c r="U396" s="180"/>
      <c r="V396" s="155"/>
      <c r="W396" s="155"/>
      <c r="X396" s="155"/>
      <c r="Y396" s="155"/>
      <c r="Z396" s="155"/>
      <c r="AA396" s="155"/>
      <c r="AB396" s="155"/>
      <c r="AC396" s="155"/>
      <c r="AD396" s="155"/>
      <c r="AE396" s="155"/>
      <c r="AF396" s="155"/>
      <c r="AG396" s="155"/>
      <c r="AH396" s="155"/>
      <c r="AI396" s="155"/>
      <c r="AJ396" s="155"/>
      <c r="AK396" s="155"/>
      <c r="AL396" s="155"/>
      <c r="AM396" s="155"/>
      <c r="AN396" s="155"/>
      <c r="AO396" s="155"/>
      <c r="AP396" s="155"/>
      <c r="AQ396" s="155"/>
      <c r="AR396" s="155"/>
      <c r="AS396" s="155"/>
      <c r="AT396" s="155"/>
    </row>
    <row r="397" spans="1:46" s="102" customFormat="1" ht="33" x14ac:dyDescent="0.3">
      <c r="A397" s="687"/>
      <c r="B397" s="657"/>
      <c r="C397" s="30"/>
      <c r="D397" s="21" t="s">
        <v>6</v>
      </c>
      <c r="E397" s="30"/>
      <c r="F397" s="105"/>
      <c r="G397" s="106"/>
      <c r="H397" s="7"/>
      <c r="I397" s="7">
        <f>(H394+H395+H396)/3</f>
        <v>100</v>
      </c>
      <c r="J397" s="380"/>
      <c r="K397" s="21" t="s">
        <v>6</v>
      </c>
      <c r="L397" s="355"/>
      <c r="M397" s="355"/>
      <c r="N397" s="355"/>
      <c r="O397" s="7"/>
      <c r="P397" s="7">
        <f>O394</f>
        <v>100</v>
      </c>
      <c r="Q397" s="7">
        <f t="shared" ref="Q397" si="55">(I397+P397)/2</f>
        <v>100</v>
      </c>
      <c r="R397" s="176" t="s">
        <v>31</v>
      </c>
      <c r="S397" s="669"/>
      <c r="T397" s="438"/>
      <c r="U397" s="180"/>
      <c r="V397" s="155"/>
      <c r="W397" s="155"/>
      <c r="X397" s="155"/>
      <c r="Y397" s="155"/>
      <c r="Z397" s="155"/>
      <c r="AA397" s="155"/>
      <c r="AB397" s="155"/>
      <c r="AC397" s="155"/>
      <c r="AD397" s="155"/>
      <c r="AE397" s="155"/>
      <c r="AF397" s="155"/>
      <c r="AG397" s="155"/>
      <c r="AH397" s="155"/>
      <c r="AI397" s="155"/>
      <c r="AJ397" s="155"/>
      <c r="AK397" s="155"/>
      <c r="AL397" s="155"/>
      <c r="AM397" s="155"/>
      <c r="AN397" s="155"/>
      <c r="AO397" s="155"/>
      <c r="AP397" s="155"/>
      <c r="AQ397" s="155"/>
      <c r="AR397" s="155"/>
      <c r="AS397" s="155"/>
      <c r="AT397" s="155"/>
    </row>
    <row r="398" spans="1:46" customFormat="1" ht="50.25" customHeight="1" x14ac:dyDescent="0.3">
      <c r="A398" s="687"/>
      <c r="B398" s="657"/>
      <c r="C398" s="369" t="s">
        <v>28</v>
      </c>
      <c r="D398" s="23" t="s">
        <v>215</v>
      </c>
      <c r="E398" s="371"/>
      <c r="F398" s="74"/>
      <c r="G398" s="107"/>
      <c r="H398" s="372"/>
      <c r="I398" s="353"/>
      <c r="J398" s="296" t="str">
        <f>C398</f>
        <v>III</v>
      </c>
      <c r="K398" s="23" t="str">
        <f>D398</f>
        <v xml:space="preserve">Организация и проведение официальных спортивных мероприятий </v>
      </c>
      <c r="L398" s="371"/>
      <c r="M398" s="371"/>
      <c r="N398" s="371"/>
      <c r="O398" s="372"/>
      <c r="P398" s="372"/>
      <c r="Q398" s="372"/>
      <c r="R398" s="359"/>
      <c r="S398" s="669"/>
      <c r="T398" s="438"/>
      <c r="U398" s="180"/>
      <c r="V398" s="155"/>
      <c r="W398" s="155"/>
      <c r="X398" s="155"/>
      <c r="Y398" s="155"/>
      <c r="Z398" s="155"/>
      <c r="AA398" s="155"/>
      <c r="AB398" s="155"/>
      <c r="AC398" s="155"/>
      <c r="AD398" s="155"/>
      <c r="AE398" s="155"/>
      <c r="AF398" s="155"/>
      <c r="AG398" s="155"/>
      <c r="AH398" s="155"/>
      <c r="AI398" s="155"/>
      <c r="AJ398" s="155"/>
      <c r="AK398" s="155"/>
      <c r="AL398" s="155"/>
      <c r="AM398" s="155"/>
      <c r="AN398" s="155"/>
      <c r="AO398" s="155"/>
      <c r="AP398" s="155"/>
      <c r="AQ398" s="155"/>
      <c r="AR398" s="155"/>
      <c r="AS398" s="155"/>
      <c r="AT398" s="155"/>
    </row>
    <row r="399" spans="1:46" customFormat="1" ht="34.5" customHeight="1" x14ac:dyDescent="0.3">
      <c r="A399" s="687"/>
      <c r="B399" s="657"/>
      <c r="C399" s="371" t="s">
        <v>29</v>
      </c>
      <c r="D399" s="377" t="s">
        <v>552</v>
      </c>
      <c r="E399" s="371" t="s">
        <v>38</v>
      </c>
      <c r="F399" s="74">
        <v>1866</v>
      </c>
      <c r="G399" s="74">
        <v>1866</v>
      </c>
      <c r="H399" s="24">
        <f>IF(G399/F399*100&gt;100,100,G399/F399*100)</f>
        <v>100</v>
      </c>
      <c r="I399" s="372"/>
      <c r="J399" s="418" t="str">
        <f>C399</f>
        <v>3.1.</v>
      </c>
      <c r="K399" s="377" t="s">
        <v>40</v>
      </c>
      <c r="L399" s="371" t="s">
        <v>36</v>
      </c>
      <c r="M399" s="371">
        <v>14</v>
      </c>
      <c r="N399" s="371">
        <v>14</v>
      </c>
      <c r="O399" s="24">
        <f t="shared" si="53"/>
        <v>100</v>
      </c>
      <c r="P399" s="372"/>
      <c r="Q399" s="372"/>
      <c r="R399" s="359"/>
      <c r="S399" s="669"/>
      <c r="T399" s="438"/>
      <c r="U399" s="180"/>
      <c r="V399" s="155"/>
      <c r="W399" s="155"/>
      <c r="X399" s="155"/>
      <c r="Y399" s="155"/>
      <c r="Z399" s="155"/>
      <c r="AA399" s="155"/>
      <c r="AB399" s="155"/>
      <c r="AC399" s="155"/>
      <c r="AD399" s="155"/>
      <c r="AE399" s="155"/>
      <c r="AF399" s="155"/>
      <c r="AG399" s="155"/>
      <c r="AH399" s="155"/>
      <c r="AI399" s="155"/>
      <c r="AJ399" s="155"/>
      <c r="AK399" s="155"/>
      <c r="AL399" s="155"/>
      <c r="AM399" s="155"/>
      <c r="AN399" s="155"/>
      <c r="AO399" s="155"/>
      <c r="AP399" s="155"/>
      <c r="AQ399" s="155"/>
      <c r="AR399" s="155"/>
      <c r="AS399" s="155"/>
      <c r="AT399" s="155"/>
    </row>
    <row r="400" spans="1:46" customFormat="1" x14ac:dyDescent="0.3">
      <c r="A400" s="687"/>
      <c r="B400" s="657"/>
      <c r="C400" s="371" t="s">
        <v>30</v>
      </c>
      <c r="D400" s="377" t="s">
        <v>51</v>
      </c>
      <c r="E400" s="371" t="s">
        <v>41</v>
      </c>
      <c r="F400" s="74">
        <v>3</v>
      </c>
      <c r="G400" s="371">
        <v>0</v>
      </c>
      <c r="H400" s="24">
        <v>100</v>
      </c>
      <c r="I400" s="372"/>
      <c r="J400" s="418"/>
      <c r="K400" s="377"/>
      <c r="L400" s="371"/>
      <c r="M400" s="12"/>
      <c r="N400" s="12"/>
      <c r="O400" s="24"/>
      <c r="P400" s="372"/>
      <c r="Q400" s="372"/>
      <c r="R400" s="359"/>
      <c r="S400" s="669"/>
      <c r="T400" s="438"/>
      <c r="U400" s="180"/>
      <c r="V400" s="155"/>
      <c r="W400" s="155"/>
      <c r="X400" s="155"/>
      <c r="Y400" s="155"/>
      <c r="Z400" s="155"/>
      <c r="AA400" s="155"/>
      <c r="AB400" s="155"/>
      <c r="AC400" s="155"/>
      <c r="AD400" s="155"/>
      <c r="AE400" s="155"/>
      <c r="AF400" s="155"/>
      <c r="AG400" s="155"/>
      <c r="AH400" s="155"/>
      <c r="AI400" s="155"/>
      <c r="AJ400" s="155"/>
      <c r="AK400" s="155"/>
      <c r="AL400" s="155"/>
      <c r="AM400" s="155"/>
      <c r="AN400" s="155"/>
      <c r="AO400" s="155"/>
      <c r="AP400" s="155"/>
      <c r="AQ400" s="155"/>
      <c r="AR400" s="155"/>
      <c r="AS400" s="155"/>
      <c r="AT400" s="155"/>
    </row>
    <row r="401" spans="1:46" s="102" customFormat="1" ht="33" x14ac:dyDescent="0.3">
      <c r="A401" s="687"/>
      <c r="B401" s="657"/>
      <c r="C401" s="30"/>
      <c r="D401" s="21" t="s">
        <v>6</v>
      </c>
      <c r="E401" s="30"/>
      <c r="F401" s="105"/>
      <c r="G401" s="106"/>
      <c r="H401" s="7"/>
      <c r="I401" s="7">
        <f>(H399+H400)/2</f>
        <v>100</v>
      </c>
      <c r="J401" s="380"/>
      <c r="K401" s="21" t="s">
        <v>6</v>
      </c>
      <c r="L401" s="355"/>
      <c r="M401" s="355"/>
      <c r="N401" s="355"/>
      <c r="O401" s="7"/>
      <c r="P401" s="7">
        <f>O399</f>
        <v>100</v>
      </c>
      <c r="Q401" s="7">
        <f t="shared" ref="Q401" si="56">(I401+P401)/2</f>
        <v>100</v>
      </c>
      <c r="R401" s="176" t="s">
        <v>31</v>
      </c>
      <c r="S401" s="669"/>
      <c r="T401" s="438"/>
      <c r="U401" s="180"/>
      <c r="V401" s="155"/>
      <c r="W401" s="155"/>
      <c r="X401" s="155"/>
      <c r="Y401" s="155"/>
      <c r="Z401" s="155"/>
      <c r="AA401" s="155"/>
      <c r="AB401" s="155"/>
      <c r="AC401" s="155"/>
      <c r="AD401" s="155"/>
      <c r="AE401" s="155"/>
      <c r="AF401" s="155"/>
      <c r="AG401" s="155"/>
      <c r="AH401" s="155"/>
      <c r="AI401" s="155"/>
      <c r="AJ401" s="155"/>
      <c r="AK401" s="155"/>
      <c r="AL401" s="155"/>
      <c r="AM401" s="155"/>
      <c r="AN401" s="155"/>
      <c r="AO401" s="155"/>
      <c r="AP401" s="155"/>
      <c r="AQ401" s="155"/>
      <c r="AR401" s="155"/>
      <c r="AS401" s="155"/>
      <c r="AT401" s="155"/>
    </row>
    <row r="402" spans="1:46" customFormat="1" ht="82.5" x14ac:dyDescent="0.3">
      <c r="A402" s="687"/>
      <c r="B402" s="657"/>
      <c r="C402" s="369" t="s">
        <v>42</v>
      </c>
      <c r="D402" s="23" t="s">
        <v>217</v>
      </c>
      <c r="E402" s="371"/>
      <c r="F402" s="74"/>
      <c r="G402" s="107"/>
      <c r="H402" s="372"/>
      <c r="I402" s="353"/>
      <c r="J402" s="296" t="str">
        <f>C402</f>
        <v>IV</v>
      </c>
      <c r="K402" s="23" t="str">
        <f>D402</f>
        <v>Организация и проведение официальных физкультурных (физкультурно-оздоровительных) мероприятий</v>
      </c>
      <c r="L402" s="369"/>
      <c r="M402" s="369"/>
      <c r="N402" s="375"/>
      <c r="O402" s="372"/>
      <c r="P402" s="372"/>
      <c r="Q402" s="372"/>
      <c r="R402" s="359"/>
      <c r="S402" s="669"/>
      <c r="T402" s="438"/>
      <c r="U402" s="180"/>
      <c r="V402" s="155"/>
      <c r="W402" s="155"/>
      <c r="X402" s="155"/>
      <c r="Y402" s="155"/>
      <c r="Z402" s="155"/>
      <c r="AA402" s="155"/>
      <c r="AB402" s="155"/>
      <c r="AC402" s="155"/>
      <c r="AD402" s="155"/>
      <c r="AE402" s="155"/>
      <c r="AF402" s="155"/>
      <c r="AG402" s="155"/>
      <c r="AH402" s="155"/>
      <c r="AI402" s="155"/>
      <c r="AJ402" s="155"/>
      <c r="AK402" s="155"/>
      <c r="AL402" s="155"/>
      <c r="AM402" s="155"/>
      <c r="AN402" s="155"/>
      <c r="AO402" s="155"/>
      <c r="AP402" s="155"/>
      <c r="AQ402" s="155"/>
      <c r="AR402" s="155"/>
      <c r="AS402" s="155"/>
      <c r="AT402" s="155"/>
    </row>
    <row r="403" spans="1:46" customFormat="1" ht="41.25" customHeight="1" x14ac:dyDescent="0.3">
      <c r="A403" s="687"/>
      <c r="B403" s="657"/>
      <c r="C403" s="371" t="s">
        <v>43</v>
      </c>
      <c r="D403" s="377" t="s">
        <v>553</v>
      </c>
      <c r="E403" s="371" t="s">
        <v>38</v>
      </c>
      <c r="F403" s="74">
        <v>800</v>
      </c>
      <c r="G403" s="371">
        <v>806</v>
      </c>
      <c r="H403" s="24">
        <f>IF(G403/F403*100&gt;100,100,G403/F403*100)</f>
        <v>100</v>
      </c>
      <c r="I403" s="308"/>
      <c r="J403" s="418" t="str">
        <f>C403</f>
        <v>4.1.</v>
      </c>
      <c r="K403" s="377" t="s">
        <v>40</v>
      </c>
      <c r="L403" s="371" t="s">
        <v>36</v>
      </c>
      <c r="M403" s="371">
        <v>12</v>
      </c>
      <c r="N403" s="371">
        <v>12</v>
      </c>
      <c r="O403" s="24">
        <f t="shared" ref="O403:O407" si="57">IF(N403/M403*100&gt;110,110,N403/M403*100)</f>
        <v>100</v>
      </c>
      <c r="P403" s="307"/>
      <c r="Q403" s="372"/>
      <c r="R403" s="359"/>
      <c r="S403" s="669"/>
      <c r="T403" s="438"/>
      <c r="U403" s="55"/>
    </row>
    <row r="404" spans="1:46" customFormat="1" x14ac:dyDescent="0.3">
      <c r="A404" s="687"/>
      <c r="B404" s="657"/>
      <c r="C404" s="371" t="s">
        <v>137</v>
      </c>
      <c r="D404" s="377" t="s">
        <v>51</v>
      </c>
      <c r="E404" s="371" t="s">
        <v>41</v>
      </c>
      <c r="F404" s="74">
        <v>3</v>
      </c>
      <c r="G404" s="371">
        <v>0</v>
      </c>
      <c r="H404" s="24">
        <v>100</v>
      </c>
      <c r="I404" s="372"/>
      <c r="J404" s="296"/>
      <c r="K404" s="377"/>
      <c r="L404" s="371"/>
      <c r="M404" s="371"/>
      <c r="N404" s="371"/>
      <c r="O404" s="24"/>
      <c r="P404" s="369"/>
      <c r="Q404" s="372"/>
      <c r="R404" s="359"/>
      <c r="S404" s="669"/>
      <c r="T404" s="438"/>
      <c r="U404" s="55"/>
    </row>
    <row r="405" spans="1:46" s="102" customFormat="1" ht="33" x14ac:dyDescent="0.3">
      <c r="A405" s="687"/>
      <c r="B405" s="657"/>
      <c r="C405" s="30"/>
      <c r="D405" s="21" t="s">
        <v>6</v>
      </c>
      <c r="E405" s="30"/>
      <c r="F405" s="105"/>
      <c r="G405" s="106"/>
      <c r="H405" s="7"/>
      <c r="I405" s="7">
        <f>(H403+H404)/2</f>
        <v>100</v>
      </c>
      <c r="J405" s="380"/>
      <c r="K405" s="21" t="s">
        <v>6</v>
      </c>
      <c r="L405" s="355"/>
      <c r="M405" s="355"/>
      <c r="N405" s="355"/>
      <c r="O405" s="7"/>
      <c r="P405" s="7">
        <f>O403</f>
        <v>100</v>
      </c>
      <c r="Q405" s="7">
        <f t="shared" ref="Q405:Q408" si="58">(I405+P405)/2</f>
        <v>100</v>
      </c>
      <c r="R405" s="176" t="s">
        <v>31</v>
      </c>
      <c r="S405" s="669"/>
      <c r="T405" s="438"/>
      <c r="U405" s="180"/>
      <c r="V405" s="155"/>
      <c r="W405" s="155"/>
      <c r="X405" s="155"/>
      <c r="Y405" s="155"/>
      <c r="Z405" s="155"/>
      <c r="AA405" s="155"/>
      <c r="AB405" s="155"/>
      <c r="AC405" s="155"/>
      <c r="AD405" s="155"/>
      <c r="AE405" s="155"/>
      <c r="AF405" s="155"/>
      <c r="AG405" s="155"/>
      <c r="AH405" s="155"/>
      <c r="AI405" s="155"/>
      <c r="AJ405" s="155"/>
      <c r="AK405" s="155"/>
      <c r="AL405" s="155"/>
      <c r="AM405" s="155"/>
      <c r="AN405" s="155"/>
      <c r="AO405" s="155"/>
      <c r="AP405" s="155"/>
      <c r="AQ405" s="155"/>
    </row>
    <row r="406" spans="1:46" customFormat="1" ht="49.5" x14ac:dyDescent="0.3">
      <c r="A406" s="687"/>
      <c r="B406" s="657"/>
      <c r="C406" s="369" t="s">
        <v>164</v>
      </c>
      <c r="D406" s="23" t="s">
        <v>306</v>
      </c>
      <c r="E406" s="371"/>
      <c r="F406" s="74"/>
      <c r="G406" s="107"/>
      <c r="H406" s="353"/>
      <c r="I406" s="353"/>
      <c r="J406" s="296" t="str">
        <f>C406</f>
        <v>V</v>
      </c>
      <c r="K406" s="23" t="str">
        <f>D406</f>
        <v>Организация мероприятий по подготовке спортивных сборных команд</v>
      </c>
      <c r="L406" s="369"/>
      <c r="M406" s="369"/>
      <c r="N406" s="369"/>
      <c r="O406" s="353"/>
      <c r="P406" s="353"/>
      <c r="Q406" s="353"/>
      <c r="R406" s="359"/>
      <c r="S406" s="669"/>
      <c r="T406" s="438"/>
      <c r="U406" s="180"/>
      <c r="V406" s="155"/>
      <c r="W406" s="155"/>
      <c r="X406" s="155"/>
      <c r="Y406" s="155"/>
      <c r="Z406" s="155"/>
      <c r="AA406" s="155"/>
      <c r="AB406" s="155"/>
      <c r="AC406" s="155"/>
      <c r="AD406" s="155"/>
      <c r="AE406" s="155"/>
      <c r="AF406" s="155"/>
      <c r="AG406" s="155"/>
      <c r="AH406" s="155"/>
      <c r="AI406" s="155"/>
      <c r="AJ406" s="155"/>
      <c r="AK406" s="155"/>
      <c r="AL406" s="155"/>
      <c r="AM406" s="155"/>
      <c r="AN406" s="155"/>
      <c r="AO406" s="155"/>
      <c r="AP406" s="155"/>
      <c r="AQ406" s="155"/>
    </row>
    <row r="407" spans="1:46" customFormat="1" ht="82.5" customHeight="1" x14ac:dyDescent="0.3">
      <c r="A407" s="687"/>
      <c r="B407" s="657"/>
      <c r="C407" s="371" t="s">
        <v>165</v>
      </c>
      <c r="D407" s="377" t="s">
        <v>433</v>
      </c>
      <c r="E407" s="371" t="s">
        <v>25</v>
      </c>
      <c r="F407" s="371">
        <v>95</v>
      </c>
      <c r="G407" s="371">
        <v>96</v>
      </c>
      <c r="H407" s="24">
        <f>IF(G407/F407*100&gt;100,100,G407/F407*100)</f>
        <v>100</v>
      </c>
      <c r="I407" s="372"/>
      <c r="J407" s="418" t="str">
        <f>C407</f>
        <v>5.1.</v>
      </c>
      <c r="K407" s="377" t="s">
        <v>400</v>
      </c>
      <c r="L407" s="371" t="s">
        <v>38</v>
      </c>
      <c r="M407" s="371">
        <v>91</v>
      </c>
      <c r="N407" s="371">
        <v>97</v>
      </c>
      <c r="O407" s="24">
        <f t="shared" si="57"/>
        <v>106.5934065934066</v>
      </c>
      <c r="P407" s="369"/>
      <c r="Q407" s="353"/>
      <c r="R407" s="359"/>
      <c r="S407" s="669"/>
      <c r="T407" s="438"/>
      <c r="U407" s="180"/>
      <c r="V407" s="155"/>
      <c r="W407" s="155"/>
      <c r="X407" s="155"/>
      <c r="Y407" s="155"/>
      <c r="Z407" s="155"/>
      <c r="AA407" s="155"/>
      <c r="AB407" s="155"/>
      <c r="AC407" s="155"/>
      <c r="AD407" s="155"/>
      <c r="AE407" s="155"/>
      <c r="AF407" s="155"/>
      <c r="AG407" s="155"/>
      <c r="AH407" s="155"/>
      <c r="AI407" s="155"/>
      <c r="AJ407" s="155"/>
      <c r="AK407" s="155"/>
      <c r="AL407" s="155"/>
      <c r="AM407" s="155"/>
      <c r="AN407" s="155"/>
      <c r="AO407" s="155"/>
      <c r="AP407" s="155"/>
      <c r="AQ407" s="155"/>
    </row>
    <row r="408" spans="1:46" s="102" customFormat="1" ht="33" x14ac:dyDescent="0.3">
      <c r="A408" s="688"/>
      <c r="B408" s="658"/>
      <c r="C408" s="30"/>
      <c r="D408" s="21" t="s">
        <v>6</v>
      </c>
      <c r="E408" s="30"/>
      <c r="F408" s="105"/>
      <c r="G408" s="106"/>
      <c r="H408" s="7"/>
      <c r="I408" s="7">
        <v>100</v>
      </c>
      <c r="J408" s="380"/>
      <c r="K408" s="21" t="s">
        <v>6</v>
      </c>
      <c r="L408" s="355"/>
      <c r="M408" s="355"/>
      <c r="N408" s="355"/>
      <c r="O408" s="7"/>
      <c r="P408" s="7">
        <f>O407</f>
        <v>106.5934065934066</v>
      </c>
      <c r="Q408" s="7">
        <f t="shared" si="58"/>
        <v>103.2967032967033</v>
      </c>
      <c r="R408" s="176" t="s">
        <v>31</v>
      </c>
      <c r="S408" s="689"/>
      <c r="T408" s="438"/>
      <c r="U408" s="180"/>
      <c r="V408" s="155"/>
      <c r="W408" s="155"/>
      <c r="X408" s="155"/>
      <c r="Y408" s="155"/>
      <c r="Z408" s="155"/>
      <c r="AA408" s="155"/>
      <c r="AB408" s="155"/>
      <c r="AC408" s="155"/>
      <c r="AD408" s="155"/>
      <c r="AE408" s="155"/>
      <c r="AF408" s="155"/>
      <c r="AG408" s="155"/>
      <c r="AH408" s="155"/>
      <c r="AI408" s="155"/>
      <c r="AJ408" s="155"/>
      <c r="AK408" s="155"/>
      <c r="AL408" s="155"/>
      <c r="AM408" s="155"/>
      <c r="AN408" s="155"/>
      <c r="AO408" s="155"/>
      <c r="AP408" s="155"/>
      <c r="AQ408" s="155"/>
    </row>
  </sheetData>
  <mergeCells count="56">
    <mergeCell ref="A390:A408"/>
    <mergeCell ref="B390:B408"/>
    <mergeCell ref="S390:S408"/>
    <mergeCell ref="A370:A377"/>
    <mergeCell ref="B370:B377"/>
    <mergeCell ref="S370:S377"/>
    <mergeCell ref="A378:A389"/>
    <mergeCell ref="B378:B389"/>
    <mergeCell ref="S378:S389"/>
    <mergeCell ref="A345:A356"/>
    <mergeCell ref="B345:B356"/>
    <mergeCell ref="S345:S356"/>
    <mergeCell ref="A357:A369"/>
    <mergeCell ref="B357:B369"/>
    <mergeCell ref="S357:S369"/>
    <mergeCell ref="A280:A325"/>
    <mergeCell ref="B280:B325"/>
    <mergeCell ref="S280:S325"/>
    <mergeCell ref="A326:A344"/>
    <mergeCell ref="B326:B344"/>
    <mergeCell ref="S326:S344"/>
    <mergeCell ref="A239:A260"/>
    <mergeCell ref="B239:B260"/>
    <mergeCell ref="S239:S260"/>
    <mergeCell ref="A261:A279"/>
    <mergeCell ref="B261:B279"/>
    <mergeCell ref="S261:S279"/>
    <mergeCell ref="A171:A216"/>
    <mergeCell ref="B171:B216"/>
    <mergeCell ref="S171:S216"/>
    <mergeCell ref="A217:A238"/>
    <mergeCell ref="B217:B238"/>
    <mergeCell ref="S217:S238"/>
    <mergeCell ref="A87:A116"/>
    <mergeCell ref="B87:B116"/>
    <mergeCell ref="S87:S116"/>
    <mergeCell ref="A117:A170"/>
    <mergeCell ref="B117:B170"/>
    <mergeCell ref="S117:S170"/>
    <mergeCell ref="Q9:S9"/>
    <mergeCell ref="A12:A33"/>
    <mergeCell ref="B12:B33"/>
    <mergeCell ref="S12:S33"/>
    <mergeCell ref="A34:A86"/>
    <mergeCell ref="B34:B86"/>
    <mergeCell ref="S34:S86"/>
    <mergeCell ref="A8:A10"/>
    <mergeCell ref="B8:B10"/>
    <mergeCell ref="D8:S8"/>
    <mergeCell ref="D9:I9"/>
    <mergeCell ref="J9:P9"/>
    <mergeCell ref="B2:Q2"/>
    <mergeCell ref="B3:Q3"/>
    <mergeCell ref="B4:Q4"/>
    <mergeCell ref="B5:Q5"/>
    <mergeCell ref="B6:Q6"/>
  </mergeCells>
  <printOptions horizontalCentered="1"/>
  <pageMargins left="0.70866141732283472" right="0.27559055118110237" top="0.19685039370078741" bottom="0.19685039370078741" header="0.31496062992125984" footer="0.31496062992125984"/>
  <pageSetup paperSize="9" scale="34" fitToHeight="0" orientation="landscape" r:id="rId1"/>
  <rowBreaks count="3" manualBreakCount="3">
    <brk id="307" max="18" man="1"/>
    <brk id="324" max="18" man="1"/>
    <brk id="348" max="18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rgb="FF92D050"/>
    <pageSetUpPr fitToPage="1"/>
  </sheetPr>
  <dimension ref="A1:Q19"/>
  <sheetViews>
    <sheetView view="pageBreakPreview" zoomScale="60" zoomScaleNormal="70" workbookViewId="0">
      <pane xSplit="1" ySplit="1" topLeftCell="B2" activePane="bottomRight" state="frozen"/>
      <selection pane="topRight" activeCell="C1" sqref="C1"/>
      <selection pane="bottomLeft" activeCell="A17" sqref="A17"/>
      <selection pane="bottomRight" activeCell="N13" sqref="N13"/>
    </sheetView>
  </sheetViews>
  <sheetFormatPr defaultRowHeight="15" x14ac:dyDescent="0.25"/>
  <cols>
    <col min="1" max="1" width="13" customWidth="1"/>
    <col min="2" max="2" width="36.42578125" customWidth="1"/>
    <col min="3" max="3" width="18.85546875" customWidth="1"/>
    <col min="4" max="7" width="13.7109375" customWidth="1"/>
    <col min="8" max="8" width="10.7109375" customWidth="1"/>
    <col min="9" max="9" width="43.85546875" customWidth="1"/>
    <col min="10" max="10" width="20.5703125" customWidth="1"/>
    <col min="11" max="12" width="12.42578125" customWidth="1"/>
    <col min="13" max="13" width="12.5703125" customWidth="1"/>
    <col min="14" max="14" width="13.42578125" customWidth="1"/>
    <col min="15" max="15" width="19.140625" customWidth="1"/>
    <col min="16" max="16" width="20.5703125" customWidth="1"/>
    <col min="17" max="17" width="19.85546875" customWidth="1"/>
  </cols>
  <sheetData>
    <row r="1" spans="1:17" ht="16.5" x14ac:dyDescent="0.25">
      <c r="A1" s="558" t="s">
        <v>0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</row>
    <row r="2" spans="1:17" ht="16.5" customHeight="1" x14ac:dyDescent="0.25">
      <c r="A2" s="558" t="s">
        <v>32</v>
      </c>
      <c r="B2" s="558"/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  <c r="P2" s="558"/>
      <c r="Q2" s="558"/>
    </row>
    <row r="3" spans="1:17" ht="18.75" customHeight="1" x14ac:dyDescent="0.25">
      <c r="A3" s="695" t="s">
        <v>416</v>
      </c>
      <c r="B3" s="695"/>
      <c r="C3" s="695"/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</row>
    <row r="4" spans="1:17" ht="16.5" customHeight="1" x14ac:dyDescent="0.25">
      <c r="A4" s="558" t="s">
        <v>33</v>
      </c>
      <c r="B4" s="558"/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8"/>
      <c r="P4" s="558"/>
      <c r="Q4" s="558"/>
    </row>
    <row r="5" spans="1:17" ht="16.5" x14ac:dyDescent="0.25">
      <c r="A5" s="558" t="s">
        <v>563</v>
      </c>
      <c r="B5" s="558"/>
      <c r="C5" s="558"/>
      <c r="D5" s="558"/>
      <c r="E5" s="558"/>
      <c r="F5" s="558"/>
      <c r="G5" s="558"/>
      <c r="H5" s="558"/>
      <c r="I5" s="558"/>
      <c r="J5" s="558"/>
      <c r="K5" s="558"/>
      <c r="L5" s="558"/>
      <c r="M5" s="558"/>
      <c r="N5" s="558"/>
      <c r="O5" s="558"/>
      <c r="P5" s="558"/>
      <c r="Q5" s="558"/>
    </row>
    <row r="6" spans="1:17" ht="16.5" x14ac:dyDescent="0.25">
      <c r="A6" s="349"/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25"/>
    </row>
    <row r="7" spans="1:17" ht="33" customHeight="1" x14ac:dyDescent="0.25">
      <c r="A7" s="553" t="s">
        <v>2</v>
      </c>
      <c r="B7" s="553"/>
      <c r="C7" s="553"/>
      <c r="D7" s="553"/>
      <c r="E7" s="553"/>
      <c r="F7" s="553"/>
      <c r="G7" s="553"/>
      <c r="H7" s="553"/>
      <c r="I7" s="553"/>
      <c r="J7" s="553"/>
      <c r="K7" s="553"/>
      <c r="L7" s="553"/>
      <c r="M7" s="553"/>
      <c r="N7" s="553"/>
      <c r="O7" s="553"/>
      <c r="P7" s="553"/>
      <c r="Q7" s="553"/>
    </row>
    <row r="8" spans="1:17" ht="41.25" customHeight="1" x14ac:dyDescent="0.25">
      <c r="A8" s="350"/>
      <c r="B8" s="553" t="s">
        <v>70</v>
      </c>
      <c r="C8" s="553"/>
      <c r="D8" s="553"/>
      <c r="E8" s="553"/>
      <c r="F8" s="553"/>
      <c r="G8" s="553"/>
      <c r="H8" s="553" t="s">
        <v>71</v>
      </c>
      <c r="I8" s="554"/>
      <c r="J8" s="554"/>
      <c r="K8" s="554"/>
      <c r="L8" s="554"/>
      <c r="M8" s="554"/>
      <c r="N8" s="554"/>
      <c r="O8" s="553" t="s">
        <v>24</v>
      </c>
      <c r="P8" s="553"/>
      <c r="Q8" s="555"/>
    </row>
    <row r="9" spans="1:17" ht="99" customHeight="1" x14ac:dyDescent="0.25">
      <c r="A9" s="350" t="s">
        <v>1</v>
      </c>
      <c r="B9" s="350" t="s">
        <v>5</v>
      </c>
      <c r="C9" s="350" t="s">
        <v>11</v>
      </c>
      <c r="D9" s="27" t="s">
        <v>54</v>
      </c>
      <c r="E9" s="27" t="s">
        <v>55</v>
      </c>
      <c r="F9" s="27" t="s">
        <v>56</v>
      </c>
      <c r="G9" s="27" t="s">
        <v>57</v>
      </c>
      <c r="H9" s="350" t="s">
        <v>1</v>
      </c>
      <c r="I9" s="350" t="s">
        <v>5</v>
      </c>
      <c r="J9" s="350" t="s">
        <v>11</v>
      </c>
      <c r="K9" s="27" t="s">
        <v>58</v>
      </c>
      <c r="L9" s="27" t="s">
        <v>59</v>
      </c>
      <c r="M9" s="27" t="s">
        <v>60</v>
      </c>
      <c r="N9" s="27" t="s">
        <v>61</v>
      </c>
      <c r="O9" s="27" t="s">
        <v>62</v>
      </c>
      <c r="P9" s="350" t="s">
        <v>422</v>
      </c>
      <c r="Q9" s="350" t="s">
        <v>423</v>
      </c>
    </row>
    <row r="10" spans="1:17" x14ac:dyDescent="0.25">
      <c r="A10" s="48">
        <v>1</v>
      </c>
      <c r="B10" s="48">
        <v>2</v>
      </c>
      <c r="C10" s="48">
        <v>3</v>
      </c>
      <c r="D10" s="48">
        <v>4</v>
      </c>
      <c r="E10" s="48">
        <v>5</v>
      </c>
      <c r="F10" s="48">
        <v>6</v>
      </c>
      <c r="G10" s="48">
        <v>7</v>
      </c>
      <c r="H10" s="48">
        <v>8</v>
      </c>
      <c r="I10" s="48">
        <v>9</v>
      </c>
      <c r="J10" s="48">
        <v>10</v>
      </c>
      <c r="K10" s="48">
        <v>11</v>
      </c>
      <c r="L10" s="48">
        <v>12</v>
      </c>
      <c r="M10" s="48">
        <v>13</v>
      </c>
      <c r="N10" s="48">
        <v>14</v>
      </c>
      <c r="O10" s="48">
        <v>15</v>
      </c>
      <c r="P10" s="48">
        <v>16</v>
      </c>
      <c r="Q10" s="48">
        <v>17</v>
      </c>
    </row>
    <row r="11" spans="1:17" ht="49.5" x14ac:dyDescent="0.25">
      <c r="A11" s="350" t="s">
        <v>12</v>
      </c>
      <c r="B11" s="68" t="s">
        <v>413</v>
      </c>
      <c r="C11" s="350"/>
      <c r="D11" s="350"/>
      <c r="E11" s="350"/>
      <c r="F11" s="372"/>
      <c r="G11" s="6"/>
      <c r="H11" s="350" t="s">
        <v>12</v>
      </c>
      <c r="I11" s="23" t="str">
        <f>B11</f>
        <v>Оказание туристско-информационных услуг 
(в стационарных условиях)</v>
      </c>
      <c r="J11" s="369"/>
      <c r="K11" s="371"/>
      <c r="L11" s="371"/>
      <c r="M11" s="372"/>
      <c r="N11" s="372"/>
      <c r="O11" s="353"/>
      <c r="P11" s="75"/>
      <c r="Q11" s="694" t="s">
        <v>280</v>
      </c>
    </row>
    <row r="12" spans="1:17" ht="33" x14ac:dyDescent="0.25">
      <c r="A12" s="35" t="s">
        <v>7</v>
      </c>
      <c r="B12" s="28" t="s">
        <v>414</v>
      </c>
      <c r="C12" s="151" t="s">
        <v>252</v>
      </c>
      <c r="D12" s="14">
        <v>90</v>
      </c>
      <c r="E12" s="14">
        <v>91</v>
      </c>
      <c r="F12" s="24">
        <f>IF(E12/D12*100&gt;100,100,E12/D12*100)</f>
        <v>100</v>
      </c>
      <c r="G12" s="35"/>
      <c r="H12" s="35" t="s">
        <v>7</v>
      </c>
      <c r="I12" s="377" t="s">
        <v>213</v>
      </c>
      <c r="J12" s="151" t="s">
        <v>252</v>
      </c>
      <c r="K12" s="141">
        <v>100</v>
      </c>
      <c r="L12" s="141">
        <v>174</v>
      </c>
      <c r="M12" s="24">
        <f t="shared" ref="M12" si="0">IF(L12/K12*100&gt;110,110,L12/K12*100)</f>
        <v>110</v>
      </c>
      <c r="N12" s="372"/>
      <c r="O12" s="353"/>
      <c r="P12" s="206"/>
      <c r="Q12" s="694"/>
    </row>
    <row r="13" spans="1:17" s="102" customFormat="1" ht="33" x14ac:dyDescent="0.25">
      <c r="A13" s="30"/>
      <c r="B13" s="21" t="s">
        <v>6</v>
      </c>
      <c r="C13" s="30"/>
      <c r="D13" s="105"/>
      <c r="E13" s="106"/>
      <c r="F13" s="7"/>
      <c r="G13" s="7">
        <f>F12</f>
        <v>100</v>
      </c>
      <c r="H13" s="355"/>
      <c r="I13" s="21" t="s">
        <v>6</v>
      </c>
      <c r="J13" s="355"/>
      <c r="K13" s="355"/>
      <c r="L13" s="355"/>
      <c r="M13" s="7"/>
      <c r="N13" s="7">
        <f>M12</f>
        <v>110</v>
      </c>
      <c r="O13" s="7">
        <f t="shared" ref="O13:O16" si="1">(G13+N13)/2</f>
        <v>105</v>
      </c>
      <c r="P13" s="166" t="s">
        <v>31</v>
      </c>
      <c r="Q13" s="694"/>
    </row>
    <row r="14" spans="1:17" ht="49.5" x14ac:dyDescent="0.25">
      <c r="A14" s="350" t="s">
        <v>13</v>
      </c>
      <c r="B14" s="68" t="s">
        <v>415</v>
      </c>
      <c r="C14" s="350"/>
      <c r="D14" s="350"/>
      <c r="E14" s="350"/>
      <c r="F14" s="372"/>
      <c r="G14" s="6"/>
      <c r="H14" s="350" t="str">
        <f>A14</f>
        <v>II</v>
      </c>
      <c r="I14" s="23" t="str">
        <f>B14</f>
        <v>Оказание туристско-информационных услуг 
(вне стационара)</v>
      </c>
      <c r="J14" s="369"/>
      <c r="K14" s="371"/>
      <c r="L14" s="371"/>
      <c r="M14" s="372"/>
      <c r="N14" s="372"/>
      <c r="O14" s="353"/>
      <c r="P14" s="207"/>
      <c r="Q14" s="694"/>
    </row>
    <row r="15" spans="1:17" ht="33.75" customHeight="1" x14ac:dyDescent="0.25">
      <c r="A15" s="35" t="s">
        <v>14</v>
      </c>
      <c r="B15" s="28" t="s">
        <v>51</v>
      </c>
      <c r="C15" s="151" t="s">
        <v>252</v>
      </c>
      <c r="D15" s="154">
        <v>0</v>
      </c>
      <c r="E15" s="154">
        <v>0</v>
      </c>
      <c r="F15" s="24">
        <v>100</v>
      </c>
      <c r="G15" s="35"/>
      <c r="H15" s="35" t="str">
        <f>A15</f>
        <v>2.1.</v>
      </c>
      <c r="I15" s="377" t="s">
        <v>213</v>
      </c>
      <c r="J15" s="151" t="s">
        <v>252</v>
      </c>
      <c r="K15" s="141">
        <v>6200</v>
      </c>
      <c r="L15" s="141">
        <v>6087</v>
      </c>
      <c r="M15" s="24">
        <f t="shared" ref="M15" si="2">IF(L15/K15*100&gt;110,110,L15/K15*100)</f>
        <v>98.177419354838719</v>
      </c>
      <c r="N15" s="372"/>
      <c r="O15" s="353"/>
      <c r="P15" s="207"/>
      <c r="Q15" s="694"/>
    </row>
    <row r="16" spans="1:17" s="102" customFormat="1" ht="33" x14ac:dyDescent="0.25">
      <c r="A16" s="30"/>
      <c r="B16" s="21" t="s">
        <v>6</v>
      </c>
      <c r="C16" s="30"/>
      <c r="D16" s="105"/>
      <c r="E16" s="106"/>
      <c r="F16" s="7"/>
      <c r="G16" s="7">
        <f>F15</f>
        <v>100</v>
      </c>
      <c r="H16" s="355"/>
      <c r="I16" s="21" t="s">
        <v>6</v>
      </c>
      <c r="J16" s="355"/>
      <c r="K16" s="355"/>
      <c r="L16" s="355"/>
      <c r="M16" s="7"/>
      <c r="N16" s="7">
        <f>M15</f>
        <v>98.177419354838719</v>
      </c>
      <c r="O16" s="7">
        <f t="shared" si="1"/>
        <v>99.088709677419359</v>
      </c>
      <c r="P16" s="7" t="s">
        <v>361</v>
      </c>
      <c r="Q16" s="694"/>
    </row>
    <row r="17" spans="1:17" ht="66" x14ac:dyDescent="0.25">
      <c r="A17" s="350" t="s">
        <v>28</v>
      </c>
      <c r="B17" s="68" t="s">
        <v>461</v>
      </c>
      <c r="C17" s="202"/>
      <c r="D17" s="203"/>
      <c r="E17" s="203"/>
      <c r="F17" s="353"/>
      <c r="G17" s="204"/>
      <c r="H17" s="350" t="str">
        <f>A17</f>
        <v>III</v>
      </c>
      <c r="I17" s="68" t="s">
        <v>461</v>
      </c>
      <c r="J17" s="202"/>
      <c r="K17" s="205"/>
      <c r="L17" s="205"/>
      <c r="M17" s="353"/>
      <c r="N17" s="353"/>
      <c r="O17" s="372"/>
      <c r="Q17" s="694"/>
    </row>
    <row r="18" spans="1:17" ht="16.5" x14ac:dyDescent="0.25">
      <c r="A18" s="35" t="s">
        <v>29</v>
      </c>
      <c r="B18" s="28" t="s">
        <v>51</v>
      </c>
      <c r="C18" s="151" t="s">
        <v>252</v>
      </c>
      <c r="D18" s="154">
        <v>0</v>
      </c>
      <c r="E18" s="154">
        <v>0</v>
      </c>
      <c r="F18" s="24">
        <v>100</v>
      </c>
      <c r="G18" s="35"/>
      <c r="H18" s="35" t="str">
        <f>A18</f>
        <v>3.1.</v>
      </c>
      <c r="I18" s="377" t="s">
        <v>213</v>
      </c>
      <c r="J18" s="151" t="s">
        <v>252</v>
      </c>
      <c r="K18" s="141">
        <v>194300</v>
      </c>
      <c r="L18" s="141">
        <v>956697</v>
      </c>
      <c r="M18" s="24">
        <f t="shared" ref="M18" si="3">IF(L18/K18*100&gt;110,110,L18/K18*100)</f>
        <v>110</v>
      </c>
      <c r="N18" s="372"/>
      <c r="O18" s="353"/>
      <c r="P18" s="207"/>
      <c r="Q18" s="694"/>
    </row>
    <row r="19" spans="1:17" s="102" customFormat="1" ht="33" x14ac:dyDescent="0.25">
      <c r="A19" s="30"/>
      <c r="B19" s="21" t="s">
        <v>6</v>
      </c>
      <c r="C19" s="30"/>
      <c r="D19" s="105"/>
      <c r="E19" s="106"/>
      <c r="F19" s="7"/>
      <c r="G19" s="7">
        <f>F18</f>
        <v>100</v>
      </c>
      <c r="H19" s="355"/>
      <c r="I19" s="21" t="s">
        <v>6</v>
      </c>
      <c r="J19" s="355"/>
      <c r="K19" s="355"/>
      <c r="L19" s="355"/>
      <c r="M19" s="7"/>
      <c r="N19" s="7">
        <f>M18</f>
        <v>110</v>
      </c>
      <c r="O19" s="7">
        <f t="shared" ref="O19" si="4">(G19+N19)/2</f>
        <v>105</v>
      </c>
      <c r="P19" s="166" t="s">
        <v>31</v>
      </c>
      <c r="Q19" s="694"/>
    </row>
  </sheetData>
  <mergeCells count="10">
    <mergeCell ref="B8:G8"/>
    <mergeCell ref="H8:N8"/>
    <mergeCell ref="O8:Q8"/>
    <mergeCell ref="Q11:Q19"/>
    <mergeCell ref="A1:Q1"/>
    <mergeCell ref="A2:Q2"/>
    <mergeCell ref="A3:Q3"/>
    <mergeCell ref="A4:Q4"/>
    <mergeCell ref="A5:Q5"/>
    <mergeCell ref="A7:Q7"/>
  </mergeCells>
  <printOptions horizontalCentered="1"/>
  <pageMargins left="0.19685039370078741" right="0.19685039370078741" top="0.43307086614173229" bottom="0.43307086614173229" header="0.31496062992125984" footer="0.31496062992125984"/>
  <pageSetup paperSize="9" scale="46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18"/>
  <sheetViews>
    <sheetView view="pageBreakPreview" zoomScale="60" zoomScaleNormal="70" workbookViewId="0">
      <pane xSplit="1" ySplit="1" topLeftCell="B2" activePane="bottomRight" state="frozen"/>
      <selection pane="topRight" activeCell="C1" sqref="C1"/>
      <selection pane="bottomLeft" activeCell="A17" sqref="A17"/>
      <selection pane="bottomRight" activeCell="B16" sqref="B16"/>
    </sheetView>
  </sheetViews>
  <sheetFormatPr defaultRowHeight="15" x14ac:dyDescent="0.25"/>
  <cols>
    <col min="1" max="1" width="13" customWidth="1"/>
    <col min="2" max="2" width="36.42578125" customWidth="1"/>
    <col min="3" max="3" width="18.85546875" customWidth="1"/>
    <col min="4" max="7" width="13.7109375" customWidth="1"/>
    <col min="8" max="8" width="10.7109375" customWidth="1"/>
    <col min="9" max="9" width="43.85546875" customWidth="1"/>
    <col min="10" max="10" width="20.5703125" customWidth="1"/>
    <col min="11" max="12" width="12.42578125" customWidth="1"/>
    <col min="13" max="13" width="12.5703125" customWidth="1"/>
    <col min="14" max="14" width="13.42578125" customWidth="1"/>
    <col min="15" max="15" width="19.140625" customWidth="1"/>
    <col min="16" max="16" width="20.5703125" customWidth="1"/>
    <col min="17" max="17" width="19.85546875" customWidth="1"/>
  </cols>
  <sheetData>
    <row r="1" spans="1:17" ht="16.5" x14ac:dyDescent="0.25">
      <c r="A1" s="558" t="s">
        <v>0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558"/>
      <c r="N1" s="558"/>
      <c r="O1" s="558"/>
      <c r="P1" s="558"/>
      <c r="Q1" s="558"/>
    </row>
    <row r="2" spans="1:17" ht="16.5" customHeight="1" x14ac:dyDescent="0.25">
      <c r="A2" s="558" t="s">
        <v>32</v>
      </c>
      <c r="B2" s="558"/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  <c r="P2" s="558"/>
      <c r="Q2" s="558"/>
    </row>
    <row r="3" spans="1:17" ht="18.75" customHeight="1" x14ac:dyDescent="0.25">
      <c r="A3" s="695" t="s">
        <v>620</v>
      </c>
      <c r="B3" s="695"/>
      <c r="C3" s="695"/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</row>
    <row r="4" spans="1:17" ht="16.5" customHeight="1" x14ac:dyDescent="0.25">
      <c r="A4" s="558" t="s">
        <v>33</v>
      </c>
      <c r="B4" s="558"/>
      <c r="C4" s="558"/>
      <c r="D4" s="558"/>
      <c r="E4" s="558"/>
      <c r="F4" s="558"/>
      <c r="G4" s="558"/>
      <c r="H4" s="558"/>
      <c r="I4" s="558"/>
      <c r="J4" s="558"/>
      <c r="K4" s="558"/>
      <c r="L4" s="558"/>
      <c r="M4" s="558"/>
      <c r="N4" s="558"/>
      <c r="O4" s="558"/>
      <c r="P4" s="558"/>
      <c r="Q4" s="558"/>
    </row>
    <row r="5" spans="1:17" ht="16.5" x14ac:dyDescent="0.25">
      <c r="A5" s="558" t="s">
        <v>563</v>
      </c>
      <c r="B5" s="558"/>
      <c r="C5" s="558"/>
      <c r="D5" s="558"/>
      <c r="E5" s="558"/>
      <c r="F5" s="558"/>
      <c r="G5" s="558"/>
      <c r="H5" s="558"/>
      <c r="I5" s="558"/>
      <c r="J5" s="558"/>
      <c r="K5" s="558"/>
      <c r="L5" s="558"/>
      <c r="M5" s="558"/>
      <c r="N5" s="558"/>
      <c r="O5" s="558"/>
      <c r="P5" s="558"/>
      <c r="Q5" s="558"/>
    </row>
    <row r="6" spans="1:17" ht="16.5" x14ac:dyDescent="0.25">
      <c r="A6" s="498"/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25"/>
    </row>
    <row r="7" spans="1:17" ht="33" customHeight="1" x14ac:dyDescent="0.25">
      <c r="A7" s="553" t="s">
        <v>2</v>
      </c>
      <c r="B7" s="553"/>
      <c r="C7" s="553"/>
      <c r="D7" s="553"/>
      <c r="E7" s="553"/>
      <c r="F7" s="553"/>
      <c r="G7" s="553"/>
      <c r="H7" s="553"/>
      <c r="I7" s="553"/>
      <c r="J7" s="553"/>
      <c r="K7" s="553"/>
      <c r="L7" s="553"/>
      <c r="M7" s="553"/>
      <c r="N7" s="553"/>
      <c r="O7" s="553"/>
      <c r="P7" s="553"/>
      <c r="Q7" s="553"/>
    </row>
    <row r="8" spans="1:17" ht="41.25" customHeight="1" x14ac:dyDescent="0.25">
      <c r="A8" s="499"/>
      <c r="B8" s="553" t="s">
        <v>70</v>
      </c>
      <c r="C8" s="553"/>
      <c r="D8" s="553"/>
      <c r="E8" s="553"/>
      <c r="F8" s="553"/>
      <c r="G8" s="553"/>
      <c r="H8" s="553" t="s">
        <v>71</v>
      </c>
      <c r="I8" s="554"/>
      <c r="J8" s="554"/>
      <c r="K8" s="554"/>
      <c r="L8" s="554"/>
      <c r="M8" s="554"/>
      <c r="N8" s="554"/>
      <c r="O8" s="553" t="s">
        <v>24</v>
      </c>
      <c r="P8" s="553"/>
      <c r="Q8" s="555"/>
    </row>
    <row r="9" spans="1:17" ht="99" customHeight="1" x14ac:dyDescent="0.25">
      <c r="A9" s="499" t="s">
        <v>1</v>
      </c>
      <c r="B9" s="499" t="s">
        <v>5</v>
      </c>
      <c r="C9" s="499" t="s">
        <v>11</v>
      </c>
      <c r="D9" s="27" t="s">
        <v>54</v>
      </c>
      <c r="E9" s="27" t="s">
        <v>55</v>
      </c>
      <c r="F9" s="27" t="s">
        <v>56</v>
      </c>
      <c r="G9" s="27" t="s">
        <v>57</v>
      </c>
      <c r="H9" s="499" t="s">
        <v>1</v>
      </c>
      <c r="I9" s="499" t="s">
        <v>5</v>
      </c>
      <c r="J9" s="499" t="s">
        <v>11</v>
      </c>
      <c r="K9" s="27" t="s">
        <v>58</v>
      </c>
      <c r="L9" s="27" t="s">
        <v>59</v>
      </c>
      <c r="M9" s="27" t="s">
        <v>60</v>
      </c>
      <c r="N9" s="27" t="s">
        <v>61</v>
      </c>
      <c r="O9" s="27" t="s">
        <v>62</v>
      </c>
      <c r="P9" s="499" t="s">
        <v>422</v>
      </c>
      <c r="Q9" s="499" t="s">
        <v>423</v>
      </c>
    </row>
    <row r="10" spans="1:17" x14ac:dyDescent="0.25">
      <c r="A10" s="48">
        <v>1</v>
      </c>
      <c r="B10" s="48">
        <v>2</v>
      </c>
      <c r="C10" s="48">
        <v>3</v>
      </c>
      <c r="D10" s="48">
        <v>4</v>
      </c>
      <c r="E10" s="48">
        <v>5</v>
      </c>
      <c r="F10" s="48">
        <v>6</v>
      </c>
      <c r="G10" s="48">
        <v>7</v>
      </c>
      <c r="H10" s="48">
        <v>8</v>
      </c>
      <c r="I10" s="48">
        <v>9</v>
      </c>
      <c r="J10" s="48">
        <v>10</v>
      </c>
      <c r="K10" s="48">
        <v>11</v>
      </c>
      <c r="L10" s="48">
        <v>12</v>
      </c>
      <c r="M10" s="48">
        <v>13</v>
      </c>
      <c r="N10" s="48">
        <v>14</v>
      </c>
      <c r="O10" s="48">
        <v>15</v>
      </c>
      <c r="P10" s="48">
        <v>16</v>
      </c>
      <c r="Q10" s="48">
        <v>17</v>
      </c>
    </row>
    <row r="11" spans="1:17" ht="33" x14ac:dyDescent="0.25">
      <c r="A11" s="499" t="s">
        <v>12</v>
      </c>
      <c r="B11" s="68" t="s">
        <v>211</v>
      </c>
      <c r="C11" s="499"/>
      <c r="D11" s="499"/>
      <c r="E11" s="499"/>
      <c r="F11" s="517"/>
      <c r="G11" s="6"/>
      <c r="H11" s="499" t="s">
        <v>12</v>
      </c>
      <c r="I11" s="23" t="str">
        <f>B11</f>
        <v>Реализация дополнительных общеразвивающих программ</v>
      </c>
      <c r="J11" s="515"/>
      <c r="K11" s="516"/>
      <c r="L11" s="516"/>
      <c r="M11" s="517"/>
      <c r="N11" s="517"/>
      <c r="O11" s="513"/>
      <c r="P11" s="75"/>
      <c r="Q11" s="694" t="s">
        <v>280</v>
      </c>
    </row>
    <row r="12" spans="1:17" ht="60" x14ac:dyDescent="0.25">
      <c r="A12" s="35" t="s">
        <v>7</v>
      </c>
      <c r="B12" s="532" t="s">
        <v>618</v>
      </c>
      <c r="C12" s="151" t="s">
        <v>392</v>
      </c>
      <c r="D12" s="531" t="s">
        <v>617</v>
      </c>
      <c r="E12" s="534">
        <v>95</v>
      </c>
      <c r="F12" s="24">
        <v>100</v>
      </c>
      <c r="G12" s="35"/>
      <c r="H12" s="35" t="s">
        <v>7</v>
      </c>
      <c r="I12" s="532" t="s">
        <v>619</v>
      </c>
      <c r="J12" s="151" t="s">
        <v>204</v>
      </c>
      <c r="K12" s="536">
        <v>52800</v>
      </c>
      <c r="L12" s="537">
        <v>50160</v>
      </c>
      <c r="M12" s="519">
        <f t="shared" ref="M12" si="0">IF(L12/K12*100&gt;110,110,L12/K12*100)</f>
        <v>95</v>
      </c>
      <c r="N12" s="517"/>
      <c r="O12" s="513"/>
      <c r="P12" s="206"/>
      <c r="Q12" s="694"/>
    </row>
    <row r="13" spans="1:17" ht="75" x14ac:dyDescent="0.25">
      <c r="A13" s="35" t="s">
        <v>8</v>
      </c>
      <c r="B13" s="532" t="s">
        <v>138</v>
      </c>
      <c r="C13" s="151" t="s">
        <v>392</v>
      </c>
      <c r="D13" s="533" t="s">
        <v>617</v>
      </c>
      <c r="E13" s="534">
        <v>100</v>
      </c>
      <c r="F13" s="24">
        <v>100</v>
      </c>
      <c r="G13" s="35"/>
      <c r="H13" s="35"/>
      <c r="I13" s="518"/>
      <c r="J13" s="151"/>
      <c r="K13" s="536"/>
      <c r="L13" s="537"/>
      <c r="M13" s="519"/>
      <c r="N13" s="517"/>
      <c r="O13" s="513"/>
      <c r="P13" s="206"/>
      <c r="Q13" s="694"/>
    </row>
    <row r="14" spans="1:17" s="102" customFormat="1" ht="33" x14ac:dyDescent="0.25">
      <c r="A14" s="30"/>
      <c r="B14" s="21" t="s">
        <v>6</v>
      </c>
      <c r="C14" s="30"/>
      <c r="D14" s="105"/>
      <c r="E14" s="106"/>
      <c r="F14" s="7"/>
      <c r="G14" s="7">
        <f>(F13+F12)/2</f>
        <v>100</v>
      </c>
      <c r="H14" s="514"/>
      <c r="I14" s="21" t="s">
        <v>6</v>
      </c>
      <c r="J14" s="514"/>
      <c r="K14" s="514"/>
      <c r="L14" s="514"/>
      <c r="M14" s="7"/>
      <c r="N14" s="7">
        <f>M12</f>
        <v>95</v>
      </c>
      <c r="O14" s="7">
        <f t="shared" ref="O14:O18" si="1">(G14+N14)/2</f>
        <v>97.5</v>
      </c>
      <c r="P14" s="7" t="s">
        <v>361</v>
      </c>
      <c r="Q14" s="694"/>
    </row>
    <row r="15" spans="1:17" ht="148.5" x14ac:dyDescent="0.25">
      <c r="A15" s="499" t="s">
        <v>13</v>
      </c>
      <c r="B15" s="68" t="s">
        <v>622</v>
      </c>
      <c r="C15" s="499"/>
      <c r="D15" s="499"/>
      <c r="E15" s="499"/>
      <c r="F15" s="517"/>
      <c r="G15" s="6"/>
      <c r="H15" s="499" t="str">
        <f>A15</f>
        <v>II</v>
      </c>
      <c r="I15" s="23" t="str">
        <f>B15</f>
        <v>Реализация основных профессиональных образовательных программ профессионального обучения – программ профессиональной подготовки по профессиям рабочих, должностям служащих</v>
      </c>
      <c r="J15" s="546"/>
      <c r="K15" s="516"/>
      <c r="L15" s="516"/>
      <c r="M15" s="517"/>
      <c r="N15" s="517"/>
      <c r="O15" s="544"/>
      <c r="P15" s="207"/>
      <c r="Q15" s="694"/>
    </row>
    <row r="16" spans="1:17" ht="75" x14ac:dyDescent="0.25">
      <c r="A16" s="35" t="s">
        <v>14</v>
      </c>
      <c r="B16" s="549" t="s">
        <v>625</v>
      </c>
      <c r="C16" s="151" t="s">
        <v>392</v>
      </c>
      <c r="D16" s="535" t="s">
        <v>621</v>
      </c>
      <c r="E16" s="534">
        <v>91</v>
      </c>
      <c r="F16" s="24">
        <v>100</v>
      </c>
      <c r="G16" s="35"/>
      <c r="H16" s="35" t="str">
        <f>A16</f>
        <v>2.1.</v>
      </c>
      <c r="I16" s="551" t="s">
        <v>619</v>
      </c>
      <c r="J16" s="542" t="s">
        <v>204</v>
      </c>
      <c r="K16" s="552">
        <v>36480</v>
      </c>
      <c r="L16" s="537">
        <v>33254</v>
      </c>
      <c r="M16" s="543">
        <f t="shared" ref="M16" si="2">IF(L16/K16*100&gt;110,110,L16/K16*100)</f>
        <v>91.156798245614041</v>
      </c>
      <c r="N16" s="517"/>
      <c r="O16" s="544"/>
      <c r="P16" s="207"/>
      <c r="Q16" s="694"/>
    </row>
    <row r="17" spans="1:17" ht="75" x14ac:dyDescent="0.25">
      <c r="A17" s="35" t="s">
        <v>15</v>
      </c>
      <c r="B17" s="532" t="s">
        <v>138</v>
      </c>
      <c r="C17" s="151" t="s">
        <v>392</v>
      </c>
      <c r="D17" s="535" t="s">
        <v>621</v>
      </c>
      <c r="E17" s="534">
        <v>100</v>
      </c>
      <c r="F17" s="24">
        <v>100</v>
      </c>
      <c r="G17" s="35"/>
      <c r="H17" s="35"/>
      <c r="I17" s="545"/>
      <c r="J17" s="151"/>
      <c r="K17" s="552"/>
      <c r="L17" s="537"/>
      <c r="M17" s="543"/>
      <c r="N17" s="517"/>
      <c r="O17" s="544"/>
      <c r="P17" s="207"/>
      <c r="Q17" s="694"/>
    </row>
    <row r="18" spans="1:17" s="102" customFormat="1" ht="33" x14ac:dyDescent="0.25">
      <c r="A18" s="30"/>
      <c r="B18" s="21" t="s">
        <v>6</v>
      </c>
      <c r="C18" s="30"/>
      <c r="D18" s="105"/>
      <c r="E18" s="106"/>
      <c r="F18" s="7"/>
      <c r="G18" s="7">
        <f>(F17+F16)/2</f>
        <v>100</v>
      </c>
      <c r="H18" s="514"/>
      <c r="I18" s="550" t="s">
        <v>6</v>
      </c>
      <c r="J18" s="273"/>
      <c r="K18" s="273"/>
      <c r="L18" s="273"/>
      <c r="M18" s="264"/>
      <c r="N18" s="264">
        <f>M16</f>
        <v>91.156798245614041</v>
      </c>
      <c r="O18" s="264">
        <f t="shared" si="1"/>
        <v>95.578399122807014</v>
      </c>
      <c r="P18" s="7" t="s">
        <v>361</v>
      </c>
      <c r="Q18" s="694"/>
    </row>
  </sheetData>
  <mergeCells count="10">
    <mergeCell ref="B8:G8"/>
    <mergeCell ref="H8:N8"/>
    <mergeCell ref="O8:Q8"/>
    <mergeCell ref="Q11:Q18"/>
    <mergeCell ref="A1:Q1"/>
    <mergeCell ref="A2:Q2"/>
    <mergeCell ref="A3:Q3"/>
    <mergeCell ref="A4:Q4"/>
    <mergeCell ref="A5:Q5"/>
    <mergeCell ref="A7:Q7"/>
  </mergeCells>
  <printOptions horizontalCentered="1"/>
  <pageMargins left="0.19685039370078741" right="0.19685039370078741" top="0.43307086614173229" bottom="0.43307086614173229" header="0.31496062992125984" footer="0.31496062992125984"/>
  <pageSetup paperSize="9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11</vt:i4>
      </vt:variant>
    </vt:vector>
  </HeadingPairs>
  <TitlesOfParts>
    <vt:vector size="20" baseType="lpstr">
      <vt:lpstr>СВОД</vt:lpstr>
      <vt:lpstr>2.1. СМИ</vt:lpstr>
      <vt:lpstr>2.2. Транспорт</vt:lpstr>
      <vt:lpstr>2.3. Молодежная политика</vt:lpstr>
      <vt:lpstr>2.4. Образование</vt:lpstr>
      <vt:lpstr>2.6. Культура и искусство</vt:lpstr>
      <vt:lpstr>2.5. Физ. культура и спорт</vt:lpstr>
      <vt:lpstr>2.7 Центр развития туризма</vt:lpstr>
      <vt:lpstr>2.8 НЦБД</vt:lpstr>
      <vt:lpstr>'2.4. Образование'!Заголовки_для_печати</vt:lpstr>
      <vt:lpstr>'2.5. Физ. культура и спорт'!Заголовки_для_печати</vt:lpstr>
      <vt:lpstr>'2.6. Культура и искусство'!Заголовки_для_печати</vt:lpstr>
      <vt:lpstr>'2.1. СМИ'!Область_печати</vt:lpstr>
      <vt:lpstr>'2.2. Транспорт'!Область_печати</vt:lpstr>
      <vt:lpstr>'2.4. Образование'!Область_печати</vt:lpstr>
      <vt:lpstr>'2.5. Физ. культура и спорт'!Область_печати</vt:lpstr>
      <vt:lpstr>'2.6. Культура и искусство'!Область_печати</vt:lpstr>
      <vt:lpstr>'2.7 Центр развития туризма'!Область_печати</vt:lpstr>
      <vt:lpstr>'2.8 НЦБД'!Область_печати</vt:lpstr>
      <vt:lpstr>СВОД!Область_печати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Воробьёва Надежда Павловна</dc:creator>
  <cp:lastModifiedBy>Воронина Марина Петровна</cp:lastModifiedBy>
  <cp:lastPrinted>2024-02-28T04:10:14Z</cp:lastPrinted>
  <dcterms:created xsi:type="dcterms:W3CDTF">2016-02-29T08:25:26Z</dcterms:created>
  <dcterms:modified xsi:type="dcterms:W3CDTF">2025-03-21T05:01:25Z</dcterms:modified>
</cp:coreProperties>
</file>